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e7\Documents\Christie Village\Meetings POA and Board\Sept 11 2021 Annual Meeting\"/>
    </mc:Choice>
  </mc:AlternateContent>
  <xr:revisionPtr revIDLastSave="0" documentId="13_ncr:1_{27B66E6D-4CB2-4889-82F3-011F3E8E1D55}" xr6:coauthVersionLast="47" xr6:coauthVersionMax="47" xr10:uidLastSave="{00000000-0000-0000-0000-000000000000}"/>
  <bookViews>
    <workbookView xWindow="1087" yWindow="82" windowWidth="22198" windowHeight="12199" activeTab="1" xr2:uid="{00000000-000D-0000-FFFF-FFFF00000000}"/>
  </bookViews>
  <sheets>
    <sheet name="2007-2016" sheetId="7" r:id="rId1"/>
    <sheet name="2022 Budget" sheetId="4" r:id="rId2"/>
  </sheets>
  <definedNames>
    <definedName name="_xlnm.Print_Titles" localSheetId="0">'2007-2016'!$1:$3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9" i="4" l="1"/>
  <c r="N52" i="4"/>
  <c r="O7" i="4" l="1"/>
  <c r="N7" i="4"/>
  <c r="N35" i="4" l="1"/>
  <c r="N15" i="4" l="1"/>
  <c r="N39" i="4"/>
  <c r="O60" i="4" l="1"/>
  <c r="O53" i="4"/>
  <c r="O6" i="4" l="1"/>
  <c r="O24" i="4"/>
  <c r="O8" i="4" l="1"/>
  <c r="O25" i="4" s="1"/>
  <c r="M60" i="4" l="1"/>
  <c r="L60" i="4"/>
  <c r="K60" i="4"/>
  <c r="J60" i="4"/>
  <c r="I60" i="4"/>
  <c r="H60" i="4"/>
  <c r="G60" i="4"/>
  <c r="F60" i="4"/>
  <c r="D60" i="4"/>
  <c r="C60" i="4"/>
  <c r="B60" i="4"/>
  <c r="M6" i="4"/>
  <c r="L6" i="4"/>
  <c r="K6" i="4"/>
  <c r="J6" i="4"/>
  <c r="I6" i="4"/>
  <c r="H6" i="4"/>
  <c r="G6" i="4"/>
  <c r="F6" i="4"/>
  <c r="E6" i="4"/>
  <c r="D6" i="4"/>
  <c r="C6" i="4"/>
  <c r="B6" i="4"/>
  <c r="M24" i="4"/>
  <c r="L24" i="4"/>
  <c r="K24" i="4"/>
  <c r="J24" i="4"/>
  <c r="I24" i="4"/>
  <c r="H24" i="4"/>
  <c r="G24" i="4"/>
  <c r="F24" i="4"/>
  <c r="E24" i="4"/>
  <c r="D24" i="4"/>
  <c r="C24" i="4"/>
  <c r="B24" i="4"/>
  <c r="N22" i="4"/>
  <c r="N20" i="4"/>
  <c r="N19" i="4"/>
  <c r="N18" i="4"/>
  <c r="N16" i="4"/>
  <c r="N14" i="4"/>
  <c r="N30" i="4" l="1"/>
  <c r="E45" i="4" l="1"/>
  <c r="E60" i="4" s="1"/>
  <c r="C4" i="7" l="1"/>
  <c r="E4" i="7"/>
  <c r="N4" i="7"/>
  <c r="P4" i="7"/>
  <c r="R4" i="7"/>
  <c r="T4" i="7"/>
  <c r="V4" i="7"/>
  <c r="C5" i="7"/>
  <c r="E5" i="7"/>
  <c r="V5" i="7"/>
  <c r="B6" i="7"/>
  <c r="C6" i="7" s="1"/>
  <c r="D6" i="7"/>
  <c r="E6" i="7" s="1"/>
  <c r="F6" i="7"/>
  <c r="H6" i="7"/>
  <c r="J6" i="7"/>
  <c r="J40" i="7" s="1"/>
  <c r="L6" i="7"/>
  <c r="N6" i="7"/>
  <c r="P6" i="7"/>
  <c r="R6" i="7"/>
  <c r="T6" i="7"/>
  <c r="C7" i="7"/>
  <c r="E7" i="7"/>
  <c r="G7" i="7"/>
  <c r="I7" i="7"/>
  <c r="K7" i="7"/>
  <c r="V7" i="7"/>
  <c r="C8" i="7"/>
  <c r="E8" i="7"/>
  <c r="G8" i="7"/>
  <c r="I8" i="7"/>
  <c r="K8" i="7"/>
  <c r="V8" i="7"/>
  <c r="B9" i="7"/>
  <c r="C9" i="7"/>
  <c r="D9" i="7"/>
  <c r="E9" i="7" s="1"/>
  <c r="F9" i="7"/>
  <c r="G9" i="7"/>
  <c r="H9" i="7"/>
  <c r="V9" i="7" s="1"/>
  <c r="J9" i="7"/>
  <c r="L9" i="7"/>
  <c r="N9" i="7"/>
  <c r="P9" i="7"/>
  <c r="R9" i="7"/>
  <c r="T9" i="7"/>
  <c r="C10" i="7"/>
  <c r="E10" i="7"/>
  <c r="G10" i="7"/>
  <c r="I10" i="7"/>
  <c r="K10" i="7"/>
  <c r="V10" i="7"/>
  <c r="C11" i="7"/>
  <c r="E11" i="7"/>
  <c r="G11" i="7"/>
  <c r="I11" i="7"/>
  <c r="K11" i="7"/>
  <c r="V11" i="7"/>
  <c r="C12" i="7"/>
  <c r="D12" i="7"/>
  <c r="F12" i="7"/>
  <c r="G12" i="7" s="1"/>
  <c r="H12" i="7"/>
  <c r="I12" i="7" s="1"/>
  <c r="J12" i="7"/>
  <c r="K12" i="7" s="1"/>
  <c r="L12" i="7"/>
  <c r="N12" i="7"/>
  <c r="P12" i="7"/>
  <c r="R12" i="7"/>
  <c r="T12" i="7"/>
  <c r="E13" i="7"/>
  <c r="G13" i="7"/>
  <c r="I13" i="7"/>
  <c r="K13" i="7"/>
  <c r="V13" i="7"/>
  <c r="C14" i="7"/>
  <c r="E14" i="7"/>
  <c r="G14" i="7"/>
  <c r="I14" i="7"/>
  <c r="K14" i="7"/>
  <c r="V14" i="7"/>
  <c r="B15" i="7"/>
  <c r="C15" i="7" s="1"/>
  <c r="D15" i="7"/>
  <c r="E15" i="7" s="1"/>
  <c r="F15" i="7"/>
  <c r="G15" i="7" s="1"/>
  <c r="H15" i="7"/>
  <c r="I15" i="7" s="1"/>
  <c r="J15" i="7"/>
  <c r="K15" i="7" s="1"/>
  <c r="L15" i="7"/>
  <c r="N15" i="7"/>
  <c r="P15" i="7"/>
  <c r="R15" i="7"/>
  <c r="T15" i="7"/>
  <c r="C16" i="7"/>
  <c r="E16" i="7"/>
  <c r="G16" i="7"/>
  <c r="I16" i="7"/>
  <c r="K16" i="7"/>
  <c r="V16" i="7"/>
  <c r="C17" i="7"/>
  <c r="E17" i="7"/>
  <c r="G17" i="7"/>
  <c r="I17" i="7"/>
  <c r="K17" i="7"/>
  <c r="V17" i="7"/>
  <c r="B18" i="7"/>
  <c r="C18" i="7" s="1"/>
  <c r="D18" i="7"/>
  <c r="E18" i="7"/>
  <c r="F18" i="7"/>
  <c r="G18" i="7"/>
  <c r="H18" i="7"/>
  <c r="I18" i="7"/>
  <c r="J18" i="7"/>
  <c r="K18" i="7" s="1"/>
  <c r="L18" i="7"/>
  <c r="N18" i="7"/>
  <c r="P18" i="7"/>
  <c r="R18" i="7"/>
  <c r="T18" i="7"/>
  <c r="C19" i="7"/>
  <c r="E19" i="7"/>
  <c r="G19" i="7"/>
  <c r="I19" i="7"/>
  <c r="K19" i="7"/>
  <c r="V19" i="7"/>
  <c r="C20" i="7"/>
  <c r="E20" i="7"/>
  <c r="G20" i="7"/>
  <c r="I20" i="7"/>
  <c r="K20" i="7"/>
  <c r="V20" i="7"/>
  <c r="B21" i="7"/>
  <c r="C21" i="7" s="1"/>
  <c r="D21" i="7"/>
  <c r="F21" i="7"/>
  <c r="G21" i="7" s="1"/>
  <c r="H21" i="7"/>
  <c r="I21" i="7" s="1"/>
  <c r="J21" i="7"/>
  <c r="K21" i="7" s="1"/>
  <c r="L21" i="7"/>
  <c r="N21" i="7"/>
  <c r="P21" i="7"/>
  <c r="R21" i="7"/>
  <c r="T21" i="7"/>
  <c r="V22" i="7"/>
  <c r="C23" i="7"/>
  <c r="E23" i="7"/>
  <c r="G23" i="7"/>
  <c r="I23" i="7"/>
  <c r="K23" i="7"/>
  <c r="V23" i="7"/>
  <c r="B24" i="7"/>
  <c r="C24" i="7" s="1"/>
  <c r="D24" i="7"/>
  <c r="E24" i="7" s="1"/>
  <c r="F24" i="7"/>
  <c r="G24" i="7" s="1"/>
  <c r="H24" i="7"/>
  <c r="I24" i="7" s="1"/>
  <c r="J24" i="7"/>
  <c r="K24" i="7" s="1"/>
  <c r="L24" i="7"/>
  <c r="N24" i="7"/>
  <c r="P24" i="7"/>
  <c r="R24" i="7"/>
  <c r="T24" i="7"/>
  <c r="V25" i="7"/>
  <c r="V26" i="7"/>
  <c r="L27" i="7"/>
  <c r="N27" i="7"/>
  <c r="P27" i="7"/>
  <c r="R27" i="7"/>
  <c r="T27" i="7"/>
  <c r="V27" i="7"/>
  <c r="V28" i="7"/>
  <c r="V29" i="7"/>
  <c r="N30" i="7"/>
  <c r="P30" i="7"/>
  <c r="V30" i="7" s="1"/>
  <c r="R30" i="7"/>
  <c r="T30" i="7"/>
  <c r="V31" i="7"/>
  <c r="V32" i="7"/>
  <c r="P33" i="7"/>
  <c r="R33" i="7"/>
  <c r="T33" i="7"/>
  <c r="V33" i="7" s="1"/>
  <c r="V34" i="7"/>
  <c r="V35" i="7"/>
  <c r="R36" i="7"/>
  <c r="V36" i="7" s="1"/>
  <c r="T36" i="7"/>
  <c r="V37" i="7"/>
  <c r="V38" i="7"/>
  <c r="T39" i="7"/>
  <c r="V39" i="7"/>
  <c r="F40" i="7"/>
  <c r="H40" i="7"/>
  <c r="C41" i="7"/>
  <c r="E41" i="7"/>
  <c r="G41" i="7"/>
  <c r="I41" i="7"/>
  <c r="K41" i="7"/>
  <c r="V41" i="7"/>
  <c r="C42" i="7"/>
  <c r="E42" i="7"/>
  <c r="G42" i="7"/>
  <c r="I42" i="7"/>
  <c r="K42" i="7"/>
  <c r="V42" i="7"/>
  <c r="C43" i="7"/>
  <c r="E43" i="7"/>
  <c r="G43" i="7"/>
  <c r="I43" i="7"/>
  <c r="K43" i="7"/>
  <c r="V43" i="7"/>
  <c r="C44" i="7"/>
  <c r="E44" i="7"/>
  <c r="G44" i="7"/>
  <c r="I44" i="7"/>
  <c r="K44" i="7"/>
  <c r="V44" i="7"/>
  <c r="C45" i="7"/>
  <c r="E45" i="7"/>
  <c r="G45" i="7"/>
  <c r="I45" i="7"/>
  <c r="K45" i="7"/>
  <c r="V45" i="7"/>
  <c r="C46" i="7"/>
  <c r="E46" i="7"/>
  <c r="G46" i="7"/>
  <c r="I46" i="7"/>
  <c r="K46" i="7"/>
  <c r="V46" i="7"/>
  <c r="C47" i="7"/>
  <c r="E47" i="7"/>
  <c r="G47" i="7"/>
  <c r="I47" i="7"/>
  <c r="K47" i="7"/>
  <c r="V47" i="7"/>
  <c r="C48" i="7"/>
  <c r="E48" i="7"/>
  <c r="G48" i="7"/>
  <c r="I48" i="7"/>
  <c r="K48" i="7"/>
  <c r="V48" i="7"/>
  <c r="C49" i="7"/>
  <c r="E49" i="7"/>
  <c r="G49" i="7"/>
  <c r="I49" i="7"/>
  <c r="K49" i="7"/>
  <c r="V49" i="7"/>
  <c r="V50" i="7"/>
  <c r="V51" i="7"/>
  <c r="R52" i="7"/>
  <c r="V52" i="7" s="1"/>
  <c r="H53" i="7"/>
  <c r="L53" i="7"/>
  <c r="V53" i="7"/>
  <c r="V54" i="7"/>
  <c r="V55" i="7"/>
  <c r="V57" i="7"/>
  <c r="V58" i="7"/>
  <c r="C59" i="7"/>
  <c r="E59" i="7"/>
  <c r="G59" i="7"/>
  <c r="I59" i="7"/>
  <c r="K59" i="7"/>
  <c r="V59" i="7"/>
  <c r="C60" i="7"/>
  <c r="E60" i="7"/>
  <c r="G60" i="7"/>
  <c r="I60" i="7"/>
  <c r="K60" i="7"/>
  <c r="V60" i="7"/>
  <c r="V61" i="7"/>
  <c r="C62" i="7"/>
  <c r="E62" i="7"/>
  <c r="G62" i="7"/>
  <c r="I62" i="7"/>
  <c r="K62" i="7"/>
  <c r="V62" i="7"/>
  <c r="V63" i="7"/>
  <c r="V64" i="7"/>
  <c r="C65" i="7"/>
  <c r="E65" i="7"/>
  <c r="G65" i="7"/>
  <c r="I65" i="7"/>
  <c r="K65" i="7"/>
  <c r="N65" i="7"/>
  <c r="V66" i="7"/>
  <c r="V67" i="7"/>
  <c r="C68" i="7"/>
  <c r="E68" i="7"/>
  <c r="G68" i="7"/>
  <c r="I68" i="7"/>
  <c r="K68" i="7"/>
  <c r="V68" i="7"/>
  <c r="C69" i="7"/>
  <c r="E69" i="7"/>
  <c r="G69" i="7"/>
  <c r="I69" i="7"/>
  <c r="K69" i="7"/>
  <c r="V69" i="7"/>
  <c r="V70" i="7"/>
  <c r="C71" i="7"/>
  <c r="E71" i="7"/>
  <c r="G71" i="7"/>
  <c r="I71" i="7"/>
  <c r="K71" i="7"/>
  <c r="V71" i="7"/>
  <c r="C72" i="7"/>
  <c r="E72" i="7"/>
  <c r="G72" i="7"/>
  <c r="I72" i="7"/>
  <c r="K72" i="7"/>
  <c r="V72" i="7"/>
  <c r="V73" i="7"/>
  <c r="C74" i="7"/>
  <c r="E74" i="7"/>
  <c r="G74" i="7"/>
  <c r="I74" i="7"/>
  <c r="K74" i="7"/>
  <c r="V74" i="7"/>
  <c r="C75" i="7"/>
  <c r="E75" i="7"/>
  <c r="G75" i="7"/>
  <c r="I75" i="7"/>
  <c r="K75" i="7"/>
  <c r="V75" i="7"/>
  <c r="C76" i="7"/>
  <c r="E76" i="7"/>
  <c r="G76" i="7"/>
  <c r="I76" i="7"/>
  <c r="K76" i="7"/>
  <c r="V76" i="7"/>
  <c r="C77" i="7"/>
  <c r="E77" i="7"/>
  <c r="G77" i="7"/>
  <c r="I77" i="7"/>
  <c r="K77" i="7"/>
  <c r="V77" i="7"/>
  <c r="C78" i="7"/>
  <c r="E78" i="7"/>
  <c r="G78" i="7"/>
  <c r="I78" i="7"/>
  <c r="K78" i="7"/>
  <c r="V78" i="7"/>
  <c r="C79" i="7"/>
  <c r="E79" i="7"/>
  <c r="G79" i="7"/>
  <c r="I79" i="7"/>
  <c r="K79" i="7"/>
  <c r="V79" i="7"/>
  <c r="C80" i="7"/>
  <c r="E80" i="7"/>
  <c r="G80" i="7"/>
  <c r="I80" i="7"/>
  <c r="K80" i="7"/>
  <c r="V80" i="7"/>
  <c r="V81" i="7"/>
  <c r="V82" i="7"/>
  <c r="C83" i="7"/>
  <c r="E83" i="7"/>
  <c r="G83" i="7"/>
  <c r="I83" i="7"/>
  <c r="K83" i="7"/>
  <c r="V83" i="7"/>
  <c r="C84" i="7"/>
  <c r="E84" i="7"/>
  <c r="G84" i="7"/>
  <c r="I84" i="7"/>
  <c r="K84" i="7"/>
  <c r="V84" i="7"/>
  <c r="C85" i="7"/>
  <c r="E85" i="7"/>
  <c r="G85" i="7"/>
  <c r="I85" i="7"/>
  <c r="K85" i="7"/>
  <c r="V85" i="7"/>
  <c r="C86" i="7"/>
  <c r="E86" i="7"/>
  <c r="G86" i="7"/>
  <c r="I86" i="7"/>
  <c r="K86" i="7"/>
  <c r="N86" i="7"/>
  <c r="V86" i="7"/>
  <c r="C87" i="7"/>
  <c r="E87" i="7"/>
  <c r="G87" i="7"/>
  <c r="I87" i="7"/>
  <c r="K87" i="7"/>
  <c r="V87" i="7"/>
  <c r="C88" i="7"/>
  <c r="E88" i="7"/>
  <c r="G88" i="7"/>
  <c r="I88" i="7"/>
  <c r="K88" i="7"/>
  <c r="V88" i="7"/>
  <c r="C89" i="7"/>
  <c r="E89" i="7"/>
  <c r="G89" i="7"/>
  <c r="I89" i="7"/>
  <c r="K89" i="7"/>
  <c r="V89" i="7"/>
  <c r="C90" i="7"/>
  <c r="E90" i="7"/>
  <c r="G90" i="7"/>
  <c r="I90" i="7"/>
  <c r="K90" i="7"/>
  <c r="V90" i="7"/>
  <c r="C91" i="7"/>
  <c r="E91" i="7"/>
  <c r="G91" i="7"/>
  <c r="I91" i="7"/>
  <c r="K91" i="7"/>
  <c r="V91" i="7"/>
  <c r="B92" i="7"/>
  <c r="V92" i="7" s="1"/>
  <c r="D92" i="7"/>
  <c r="F92" i="7"/>
  <c r="H92" i="7"/>
  <c r="J92" i="7"/>
  <c r="L92" i="7"/>
  <c r="N92" i="7"/>
  <c r="P92" i="7"/>
  <c r="R92" i="7"/>
  <c r="T92" i="7"/>
  <c r="C93" i="7"/>
  <c r="E93" i="7"/>
  <c r="G93" i="7"/>
  <c r="I93" i="7"/>
  <c r="K93" i="7"/>
  <c r="V93" i="7"/>
  <c r="C94" i="7"/>
  <c r="E94" i="7"/>
  <c r="G94" i="7"/>
  <c r="I94" i="7"/>
  <c r="K94" i="7"/>
  <c r="V94" i="7"/>
  <c r="C95" i="7"/>
  <c r="E95" i="7"/>
  <c r="G95" i="7"/>
  <c r="I95" i="7"/>
  <c r="K95" i="7"/>
  <c r="V95" i="7"/>
  <c r="C96" i="7"/>
  <c r="E96" i="7"/>
  <c r="G96" i="7"/>
  <c r="I96" i="7"/>
  <c r="K96" i="7"/>
  <c r="V96" i="7"/>
  <c r="V97" i="7"/>
  <c r="C98" i="7"/>
  <c r="E98" i="7"/>
  <c r="G98" i="7"/>
  <c r="I98" i="7"/>
  <c r="K98" i="7"/>
  <c r="N98" i="7"/>
  <c r="B99" i="7"/>
  <c r="C99" i="7" s="1"/>
  <c r="D99" i="7"/>
  <c r="E99" i="7" s="1"/>
  <c r="F99" i="7"/>
  <c r="G99" i="7" s="1"/>
  <c r="H99" i="7"/>
  <c r="I99" i="7" s="1"/>
  <c r="J99" i="7"/>
  <c r="K99" i="7" s="1"/>
  <c r="L99" i="7"/>
  <c r="N99" i="7"/>
  <c r="P99" i="7"/>
  <c r="R99" i="7"/>
  <c r="T99" i="7"/>
  <c r="Y119" i="7"/>
  <c r="G92" i="7" l="1"/>
  <c r="B40" i="7"/>
  <c r="V24" i="7"/>
  <c r="E92" i="7"/>
  <c r="V21" i="7"/>
  <c r="V12" i="7"/>
  <c r="V6" i="7"/>
  <c r="K92" i="7"/>
  <c r="C92" i="7"/>
  <c r="P40" i="7"/>
  <c r="V15" i="7"/>
  <c r="O4" i="7"/>
  <c r="O92" i="7"/>
  <c r="N40" i="7"/>
  <c r="N56" i="7" s="1"/>
  <c r="O15" i="7" s="1"/>
  <c r="I92" i="7"/>
  <c r="V18" i="7"/>
  <c r="O65" i="7"/>
  <c r="O6" i="7"/>
  <c r="N101" i="7"/>
  <c r="V98" i="7"/>
  <c r="O11" i="7"/>
  <c r="O25" i="7"/>
  <c r="O43" i="7"/>
  <c r="O47" i="7"/>
  <c r="O7" i="7"/>
  <c r="O10" i="7"/>
  <c r="O14" i="7"/>
  <c r="O42" i="7"/>
  <c r="O46" i="7"/>
  <c r="O64" i="7"/>
  <c r="O69" i="7"/>
  <c r="O71" i="7"/>
  <c r="O77" i="7"/>
  <c r="O22" i="7"/>
  <c r="O26" i="7"/>
  <c r="O27" i="7"/>
  <c r="O28" i="7"/>
  <c r="O41" i="7"/>
  <c r="O45" i="7"/>
  <c r="O29" i="7"/>
  <c r="O44" i="7"/>
  <c r="O48" i="7"/>
  <c r="O50" i="7"/>
  <c r="O59" i="7"/>
  <c r="O75" i="7"/>
  <c r="V99" i="7"/>
  <c r="X99" i="7"/>
  <c r="O21" i="7"/>
  <c r="O12" i="7"/>
  <c r="R40" i="7"/>
  <c r="L40" i="7"/>
  <c r="L56" i="7" s="1"/>
  <c r="M92" i="7" s="1"/>
  <c r="D40" i="7"/>
  <c r="E21" i="7"/>
  <c r="E12" i="7"/>
  <c r="V65" i="7"/>
  <c r="T40" i="7"/>
  <c r="L53" i="4"/>
  <c r="K53" i="4"/>
  <c r="J53" i="4"/>
  <c r="I53" i="4"/>
  <c r="H53" i="4"/>
  <c r="G53" i="4"/>
  <c r="F53" i="4"/>
  <c r="E53" i="4"/>
  <c r="D53" i="4"/>
  <c r="C53" i="4"/>
  <c r="B53" i="4"/>
  <c r="M53" i="4"/>
  <c r="N58" i="4"/>
  <c r="V40" i="7" l="1"/>
  <c r="O20" i="7"/>
  <c r="O18" i="7"/>
  <c r="O23" i="7"/>
  <c r="O19" i="7"/>
  <c r="O98" i="7"/>
  <c r="O9" i="7"/>
  <c r="O49" i="7"/>
  <c r="O13" i="7"/>
  <c r="O16" i="7"/>
  <c r="O17" i="7"/>
  <c r="O8" i="7"/>
  <c r="O24" i="7"/>
  <c r="O72" i="7"/>
  <c r="O76" i="7"/>
  <c r="O87" i="7"/>
  <c r="O88" i="7"/>
  <c r="O89" i="7"/>
  <c r="O90" i="7"/>
  <c r="O91" i="7"/>
  <c r="O96" i="7"/>
  <c r="O79" i="7"/>
  <c r="O68" i="7"/>
  <c r="O74" i="7"/>
  <c r="O83" i="7"/>
  <c r="O84" i="7"/>
  <c r="O85" i="7"/>
  <c r="O95" i="7"/>
  <c r="O94" i="7"/>
  <c r="O93" i="7"/>
  <c r="O100" i="7"/>
  <c r="O60" i="7"/>
  <c r="O80" i="7"/>
  <c r="O62" i="7"/>
  <c r="O78" i="7"/>
  <c r="Q40" i="7"/>
  <c r="P56" i="7"/>
  <c r="O99" i="7"/>
  <c r="T56" i="7"/>
  <c r="U40" i="7" s="1"/>
  <c r="R56" i="7"/>
  <c r="V56" i="7" s="1"/>
  <c r="M15" i="7"/>
  <c r="M21" i="7"/>
  <c r="O101" i="7"/>
  <c r="N105" i="7"/>
  <c r="M99" i="7"/>
  <c r="M12" i="7"/>
  <c r="M7" i="7"/>
  <c r="M10" i="7"/>
  <c r="M14" i="7"/>
  <c r="M16" i="7"/>
  <c r="M18" i="7"/>
  <c r="M23" i="7"/>
  <c r="M27" i="7"/>
  <c r="M42" i="7"/>
  <c r="M46" i="7"/>
  <c r="M64" i="7"/>
  <c r="M13" i="7"/>
  <c r="M22" i="7"/>
  <c r="M26" i="7"/>
  <c r="M41" i="7"/>
  <c r="M45" i="7"/>
  <c r="M49" i="7"/>
  <c r="M60" i="7"/>
  <c r="M62" i="7"/>
  <c r="M68" i="7"/>
  <c r="M76" i="7"/>
  <c r="M20" i="7"/>
  <c r="M44" i="7"/>
  <c r="M48" i="7"/>
  <c r="M8" i="7"/>
  <c r="M11" i="7"/>
  <c r="M17" i="7"/>
  <c r="M19" i="7"/>
  <c r="M25" i="7"/>
  <c r="M43" i="7"/>
  <c r="M47" i="7"/>
  <c r="M65" i="7"/>
  <c r="M72" i="7"/>
  <c r="M74" i="7"/>
  <c r="M78" i="7"/>
  <c r="M69" i="7"/>
  <c r="M77" i="7"/>
  <c r="M85" i="7"/>
  <c r="M95" i="7"/>
  <c r="M59" i="7"/>
  <c r="M80" i="7"/>
  <c r="M84" i="7"/>
  <c r="M88" i="7"/>
  <c r="M96" i="7"/>
  <c r="L101" i="7"/>
  <c r="M101" i="7" s="1"/>
  <c r="M93" i="7"/>
  <c r="M71" i="7"/>
  <c r="M75" i="7"/>
  <c r="M79" i="7"/>
  <c r="M83" i="7"/>
  <c r="M87" i="7"/>
  <c r="M91" i="7"/>
  <c r="M100" i="7"/>
  <c r="M90" i="7"/>
  <c r="M94" i="7"/>
  <c r="M98" i="7"/>
  <c r="M89" i="7"/>
  <c r="M24" i="7"/>
  <c r="N55" i="4"/>
  <c r="Q18" i="7" l="1"/>
  <c r="Q51" i="7"/>
  <c r="Q54" i="7"/>
  <c r="Q77" i="7"/>
  <c r="Q78" i="7"/>
  <c r="Q79" i="7"/>
  <c r="Q80" i="7"/>
  <c r="Q42" i="7"/>
  <c r="Q46" i="7"/>
  <c r="Q64" i="7"/>
  <c r="Q65" i="7"/>
  <c r="Q69" i="7"/>
  <c r="Q71" i="7"/>
  <c r="Q72" i="7"/>
  <c r="Q75" i="7"/>
  <c r="Q76" i="7"/>
  <c r="Q87" i="7"/>
  <c r="Q88" i="7"/>
  <c r="Q89" i="7"/>
  <c r="Q90" i="7"/>
  <c r="Q91" i="7"/>
  <c r="Q55" i="7"/>
  <c r="Q68" i="7"/>
  <c r="Q74" i="7"/>
  <c r="Q83" i="7"/>
  <c r="Q84" i="7"/>
  <c r="Q85" i="7"/>
  <c r="Q62" i="7"/>
  <c r="Q53" i="7"/>
  <c r="Q44" i="7"/>
  <c r="Q50" i="7"/>
  <c r="Q59" i="7"/>
  <c r="Q60" i="7"/>
  <c r="Q48" i="7"/>
  <c r="Q49" i="7"/>
  <c r="Q26" i="7"/>
  <c r="Q23" i="7"/>
  <c r="Q20" i="7"/>
  <c r="Q32" i="7"/>
  <c r="Q30" i="7"/>
  <c r="Q6" i="7"/>
  <c r="Q45" i="7"/>
  <c r="Q22" i="7"/>
  <c r="Q16" i="7"/>
  <c r="Q25" i="7"/>
  <c r="Q31" i="7"/>
  <c r="Q15" i="7"/>
  <c r="Q21" i="7"/>
  <c r="Q41" i="7"/>
  <c r="Q14" i="7"/>
  <c r="Q19" i="7"/>
  <c r="Q13" i="7"/>
  <c r="Q17" i="7"/>
  <c r="Q10" i="7"/>
  <c r="Q28" i="7"/>
  <c r="Q27" i="7"/>
  <c r="Q24" i="7"/>
  <c r="Q12" i="7"/>
  <c r="Q99" i="7"/>
  <c r="Q7" i="7"/>
  <c r="Q11" i="7"/>
  <c r="Q47" i="7"/>
  <c r="Q9" i="7"/>
  <c r="Q33" i="7"/>
  <c r="Q8" i="7"/>
  <c r="Q4" i="7"/>
  <c r="Q29" i="7"/>
  <c r="Q92" i="7"/>
  <c r="Q43" i="7"/>
  <c r="S13" i="7"/>
  <c r="S22" i="7"/>
  <c r="S26" i="7"/>
  <c r="S28" i="7"/>
  <c r="S41" i="7"/>
  <c r="S45" i="7"/>
  <c r="S49" i="7"/>
  <c r="S60" i="7"/>
  <c r="S62" i="7"/>
  <c r="S20" i="7"/>
  <c r="S29" i="7"/>
  <c r="S44" i="7"/>
  <c r="S48" i="7"/>
  <c r="S50" i="7"/>
  <c r="S51" i="7"/>
  <c r="S59" i="7"/>
  <c r="S75" i="7"/>
  <c r="S8" i="7"/>
  <c r="S11" i="7"/>
  <c r="S17" i="7"/>
  <c r="S18" i="7"/>
  <c r="S19" i="7"/>
  <c r="S25" i="7"/>
  <c r="S27" i="7"/>
  <c r="S43" i="7"/>
  <c r="S47" i="7"/>
  <c r="S7" i="7"/>
  <c r="S10" i="7"/>
  <c r="S14" i="7"/>
  <c r="S16" i="7"/>
  <c r="S23" i="7"/>
  <c r="S42" i="7"/>
  <c r="S46" i="7"/>
  <c r="S64" i="7"/>
  <c r="S65" i="7"/>
  <c r="S69" i="7"/>
  <c r="S71" i="7"/>
  <c r="S77" i="7"/>
  <c r="S80" i="7"/>
  <c r="S84" i="7"/>
  <c r="S88" i="7"/>
  <c r="S93" i="7"/>
  <c r="S55" i="7"/>
  <c r="S68" i="7"/>
  <c r="S72" i="7"/>
  <c r="S76" i="7"/>
  <c r="S79" i="7"/>
  <c r="S83" i="7"/>
  <c r="S87" i="7"/>
  <c r="S91" i="7"/>
  <c r="S94" i="7"/>
  <c r="S101" i="7"/>
  <c r="S90" i="7"/>
  <c r="S95" i="7"/>
  <c r="S98" i="7"/>
  <c r="S54" i="7"/>
  <c r="S53" i="7"/>
  <c r="S74" i="7"/>
  <c r="S78" i="7"/>
  <c r="S85" i="7"/>
  <c r="S89" i="7"/>
  <c r="S96" i="7"/>
  <c r="S100" i="7"/>
  <c r="S92" i="7"/>
  <c r="S6" i="7"/>
  <c r="S24" i="7"/>
  <c r="S52" i="7"/>
  <c r="S9" i="7"/>
  <c r="S99" i="7"/>
  <c r="S21" i="7"/>
  <c r="S15" i="7"/>
  <c r="S4" i="7"/>
  <c r="S40" i="7"/>
  <c r="U7" i="7"/>
  <c r="U10" i="7"/>
  <c r="U14" i="7"/>
  <c r="U16" i="7"/>
  <c r="U18" i="7"/>
  <c r="U23" i="7"/>
  <c r="U27" i="7"/>
  <c r="U31" i="7"/>
  <c r="U39" i="7"/>
  <c r="U42" i="7"/>
  <c r="U46" i="7"/>
  <c r="U64" i="7"/>
  <c r="U65" i="7"/>
  <c r="U13" i="7"/>
  <c r="U22" i="7"/>
  <c r="U26" i="7"/>
  <c r="U28" i="7"/>
  <c r="U35" i="7"/>
  <c r="U38" i="7"/>
  <c r="U41" i="7"/>
  <c r="U45" i="7"/>
  <c r="U49" i="7"/>
  <c r="U60" i="7"/>
  <c r="U62" i="7"/>
  <c r="U68" i="7"/>
  <c r="U76" i="7"/>
  <c r="U20" i="7"/>
  <c r="U29" i="7"/>
  <c r="U44" i="7"/>
  <c r="U48" i="7"/>
  <c r="U50" i="7"/>
  <c r="U51" i="7"/>
  <c r="U8" i="7"/>
  <c r="U11" i="7"/>
  <c r="U17" i="7"/>
  <c r="U19" i="7"/>
  <c r="U25" i="7"/>
  <c r="U32" i="7"/>
  <c r="U34" i="7"/>
  <c r="U37" i="7"/>
  <c r="U43" i="7"/>
  <c r="U47" i="7"/>
  <c r="U53" i="7"/>
  <c r="U54" i="7"/>
  <c r="U55" i="7"/>
  <c r="U72" i="7"/>
  <c r="U74" i="7"/>
  <c r="U78" i="7"/>
  <c r="U71" i="7"/>
  <c r="U75" i="7"/>
  <c r="U85" i="7"/>
  <c r="U89" i="7"/>
  <c r="U80" i="7"/>
  <c r="U84" i="7"/>
  <c r="U88" i="7"/>
  <c r="U87" i="7"/>
  <c r="U69" i="7"/>
  <c r="U77" i="7"/>
  <c r="U79" i="7"/>
  <c r="U83" i="7"/>
  <c r="U91" i="7"/>
  <c r="U59" i="7"/>
  <c r="U90" i="7"/>
  <c r="U92" i="7"/>
  <c r="U6" i="7"/>
  <c r="U12" i="7"/>
  <c r="U99" i="7"/>
  <c r="U9" i="7"/>
  <c r="U21" i="7"/>
  <c r="U36" i="7"/>
  <c r="U15" i="7"/>
  <c r="U4" i="7"/>
  <c r="U33" i="7"/>
  <c r="U24" i="7"/>
  <c r="U30" i="7"/>
  <c r="S12" i="7" l="1"/>
  <c r="N29" i="4"/>
  <c r="N12" i="4" l="1"/>
  <c r="N10" i="4"/>
  <c r="N9" i="4"/>
  <c r="N40" i="4"/>
  <c r="N3" i="4"/>
  <c r="N5" i="4" l="1"/>
  <c r="N4" i="4"/>
  <c r="N13" i="4"/>
  <c r="N24" i="4" s="1"/>
  <c r="N43" i="4"/>
  <c r="N50" i="4"/>
  <c r="N49" i="4"/>
  <c r="N42" i="4"/>
  <c r="N33" i="4"/>
  <c r="N28" i="4"/>
  <c r="N48" i="4"/>
  <c r="N45" i="4"/>
  <c r="N6" i="4" l="1"/>
  <c r="N8" i="4" s="1"/>
  <c r="N25" i="4" s="1"/>
  <c r="N51" i="4"/>
  <c r="N53" i="4" s="1"/>
  <c r="N60" i="4" l="1"/>
  <c r="N6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Van Rooyen</author>
    <author>Barbara Freeman</author>
  </authors>
  <commentList>
    <comment ref="B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Assume we lose 10% of current owners</t>
        </r>
      </text>
    </comment>
    <comment ref="B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Assume we lose 10% of current owners</t>
        </r>
      </text>
    </comment>
    <comment ref="B7" authorId="0" shapeId="0" xr:uid="{00000000-0006-0000-0200-000003000000}">
      <text>
        <r>
          <rPr>
            <sz val="9"/>
            <color indexed="81"/>
            <rFont val="Tahoma"/>
            <family val="2"/>
          </rPr>
          <t>Barbara Freeman
Assume we lose 10% of current owners</t>
        </r>
      </text>
    </comment>
    <comment ref="N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Omar Van Rooyen:</t>
        </r>
        <r>
          <rPr>
            <sz val="9"/>
            <color indexed="81"/>
            <rFont val="Tahoma"/>
            <family val="2"/>
          </rPr>
          <t xml:space="preserve">
Reflects redution in price to provide commission to outside sales person</t>
        </r>
      </text>
    </comment>
    <comment ref="N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Omar Van Rooyen:</t>
        </r>
        <r>
          <rPr>
            <sz val="9"/>
            <color indexed="81"/>
            <rFont val="Tahoma"/>
            <family val="2"/>
          </rPr>
          <t xml:space="preserve">
Reflects redution in price to provide commission to outside sales person</t>
        </r>
      </text>
    </comment>
    <comment ref="N1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This expense is to be used for the WEBSITE</t>
        </r>
      </text>
    </comment>
    <comment ref="D32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Renewal of DNS
</t>
        </r>
      </text>
    </comment>
    <comment ref="J32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Barbara Freeman
Chamber of Commerce
</t>
        </r>
      </text>
    </comment>
    <comment ref="O3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2 years of Property Insurance
</t>
        </r>
      </text>
    </comment>
    <comment ref="B39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C39" authorId="0" shapeId="0" xr:uid="{E05CF0AA-E7C1-4694-A134-C933DCE373AA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D39" authorId="0" shapeId="0" xr:uid="{18CC3F6F-5C46-41AE-A16B-C9CC6B24942D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E39" authorId="0" shapeId="0" xr:uid="{92FB94FE-D6FC-4D81-BE92-68457E9D79B3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F39" authorId="0" shapeId="0" xr:uid="{65E28E82-9535-4F51-BE2F-4987D6284DF5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G39" authorId="0" shapeId="0" xr:uid="{378CA1D2-2405-4980-8D8A-BC883419F5B7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H39" authorId="0" shapeId="0" xr:uid="{03F9D6FA-4657-4E6D-9AB6-1DC7B7C0E9E2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I39" authorId="0" shapeId="0" xr:uid="{04AF12EA-C138-4A9D-A864-DC2BBA75FFDC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J39" authorId="0" shapeId="0" xr:uid="{F142B859-4C66-4F10-93A5-003B1B92B6CD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K39" authorId="0" shapeId="0" xr:uid="{6F9135F8-4A22-4FEA-80AD-AA10A1B3023A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L39" authorId="0" shapeId="0" xr:uid="{A2BD9EA1-31E1-4087-A8F7-F6FD07B3604F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M39" authorId="0" shapeId="0" xr:uid="{B8FAB4A6-D167-4156-963F-4913F2141508}">
      <text>
        <r>
          <rPr>
            <b/>
            <sz val="9"/>
            <color indexed="81"/>
            <rFont val="Tahoma"/>
            <family val="2"/>
          </rPr>
          <t xml:space="preserve">Minor Repairs
</t>
        </r>
      </text>
    </comment>
    <comment ref="B40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 xml:space="preserve">Weed Eating
</t>
        </r>
      </text>
    </comment>
    <comment ref="C40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D40" authorId="0" shapeId="0" xr:uid="{0CE45E05-3A14-44C0-8225-D7BEF473F1E2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E40" authorId="0" shapeId="0" xr:uid="{BDD56844-524D-4A3B-876C-56A78F538213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F40" authorId="0" shapeId="0" xr:uid="{C67234BE-38AC-432A-B5C7-CA306701FEB4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G40" authorId="0" shapeId="0" xr:uid="{5F62B797-75AE-4AEA-905A-44BE4A8419EF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H40" authorId="0" shapeId="0" xr:uid="{1E07E0F4-3CE6-4D77-8E5C-0E1526287A90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I40" authorId="0" shapeId="0" xr:uid="{75B78231-B991-4E3E-8CC1-E68E1047E039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J40" authorId="0" shapeId="0" xr:uid="{A3A6C1EA-F840-48DE-8982-9B48754EBD4E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K40" authorId="0" shapeId="0" xr:uid="{CF082D1F-477F-4354-91FE-F0FD71AD7BE5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L40" authorId="0" shapeId="0" xr:uid="{28EB9B97-663A-4A5F-A321-A7B9B7605975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M40" authorId="0" shapeId="0" xr:uid="{9AC3FF73-433D-487D-AB22-B15C830215E5}">
      <text>
        <r>
          <rPr>
            <sz val="11"/>
            <color theme="1"/>
            <rFont val="Calibri"/>
            <family val="2"/>
            <scheme val="minor"/>
          </rPr>
          <t>Pine Needles</t>
        </r>
      </text>
    </comment>
    <comment ref="B41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C41" authorId="1" shapeId="0" xr:uid="{DB21A703-AAB5-46CC-AAE3-E5D8B5C73525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D41" authorId="1" shapeId="0" xr:uid="{945D3DEE-1445-4F9F-80F0-2BC5480B4C81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E41" authorId="1" shapeId="0" xr:uid="{48A67F19-FF7F-4514-80FB-89B57398E883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F41" authorId="1" shapeId="0" xr:uid="{7430BE0A-6347-440A-BF88-9E244BD67EB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G41" authorId="1" shapeId="0" xr:uid="{5550766A-B342-4BBB-9783-12A035ED3E44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H41" authorId="1" shapeId="0" xr:uid="{8C68354E-916E-401C-8896-BAEAED1CB662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I41" authorId="1" shapeId="0" xr:uid="{DF1ECE99-F6E0-4F42-AFA3-04E3906576F6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J41" authorId="1" shapeId="0" xr:uid="{1A986FEC-E536-4A06-9835-7163F928DBB8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K41" authorId="1" shapeId="0" xr:uid="{4A70A25D-67EF-48CB-B3F9-F6FDAA03DD0E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L41" authorId="1" shapeId="0" xr:uid="{CDD28364-BBA7-4306-A1E4-F2EAC370C87D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M41" authorId="1" shapeId="0" xr:uid="{581B2A29-63A2-45F7-AEB4-7480F7C84106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N41" authorId="1" shapeId="0" xr:uid="{378D2AC1-35A8-45C3-9391-1733E2FBCD03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Sheets and other general purchases from Harbor Linen
</t>
        </r>
      </text>
    </comment>
    <comment ref="B43" authorId="1" shapeId="0" xr:uid="{00000000-0006-0000-0200-000024000000}">
      <text>
        <r>
          <rPr>
            <sz val="9"/>
            <color indexed="81"/>
            <rFont val="Tahoma"/>
            <family val="2"/>
          </rPr>
          <t xml:space="preserve">
Stamps envelopes  for Annual statements
</t>
        </r>
      </text>
    </comment>
    <comment ref="F43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stamps and shipping items to owners
</t>
        </r>
      </text>
    </comment>
    <comment ref="G43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Barbara Freeman:
Printer supplies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Barbara Freeman:
Printer supplies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New Router
</t>
        </r>
      </text>
    </comment>
    <comment ref="L43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Stamps for letter about annual meeting, Pprinting and folding  letters
</t>
        </r>
      </text>
    </comment>
    <comment ref="M43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Barbara Freeman:</t>
        </r>
        <r>
          <rPr>
            <sz val="9"/>
            <color indexed="81"/>
            <rFont val="Tahoma"/>
            <family val="2"/>
          </rPr>
          <t xml:space="preserve">
Postage and shipping
</t>
        </r>
      </text>
    </comment>
    <comment ref="E45" authorId="0" shapeId="0" xr:uid="{00000000-0006-0000-0200-00002B000000}">
      <text>
        <r>
          <rPr>
            <sz val="9"/>
            <color indexed="81"/>
            <rFont val="Tahoma"/>
            <family val="2"/>
          </rPr>
          <t xml:space="preserve">
Watauga  3395.44
 Town of BM 4718.47
</t>
        </r>
      </text>
    </comment>
    <comment ref="N4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Omar Van Rooyen:</t>
        </r>
        <r>
          <rPr>
            <sz val="9"/>
            <color indexed="81"/>
            <rFont val="Tahoma"/>
            <family val="2"/>
          </rPr>
          <t xml:space="preserve">
Assumes savings from winterizing 4 units plus aggressive monitoring of utilities usage</t>
        </r>
      </text>
    </comment>
    <comment ref="N50" authorId="0" shapeId="0" xr:uid="{00000000-0006-0000-0200-00002D000000}">
      <text>
        <r>
          <rPr>
            <sz val="9"/>
            <color indexed="81"/>
            <rFont val="Tahoma"/>
            <family val="2"/>
          </rPr>
          <t xml:space="preserve">
Room telephone lines (3) disconnected.</t>
        </r>
      </text>
    </comment>
    <comment ref="B51" authorId="0" shapeId="0" xr:uid="{00000000-0006-0000-0200-00002E000000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C51" authorId="0" shapeId="0" xr:uid="{81566177-D45D-47FC-AB6C-9DD8F6EE2682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D51" authorId="0" shapeId="0" xr:uid="{F56EFEC0-6419-4D07-AFE4-F632D5B1F397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E51" authorId="0" shapeId="0" xr:uid="{C2D23C6D-B2E0-45B4-8B62-59EFB4FF4F83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F51" authorId="0" shapeId="0" xr:uid="{B98B3FBF-E9F6-45A7-B4B0-D9E89BE0A5D0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G51" authorId="0" shapeId="0" xr:uid="{11466532-83FC-44F2-AD8A-EAD892370784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H51" authorId="0" shapeId="0" xr:uid="{E5A9C040-D36E-4DEC-B05C-E90A54FA344C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I51" authorId="0" shapeId="0" xr:uid="{AB5187E0-1290-4D2F-9ED4-598AD505A4AC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J51" authorId="0" shapeId="0" xr:uid="{F9B23241-9E2D-4803-8D44-760D74861961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K51" authorId="0" shapeId="0" xr:uid="{900E6D05-BDC9-43C0-B74C-DCECF5178CF6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L51" authorId="0" shapeId="0" xr:uid="{07268C22-1627-498A-AE44-FC419C7C87AA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M51" authorId="0" shapeId="0" xr:uid="{55F1FB78-389B-4D4E-B5D8-166CC4494FEA}">
      <text>
        <r>
          <rPr>
            <sz val="9"/>
            <color indexed="81"/>
            <rFont val="Tahoma"/>
            <family val="2"/>
          </rPr>
          <t xml:space="preserve">
14 units plus office/laundry</t>
        </r>
      </text>
    </comment>
    <comment ref="B55" authorId="0" shapeId="0" xr:uid="{00000000-0006-0000-0200-00003A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C55" authorId="0" shapeId="0" xr:uid="{00000000-0006-0000-0200-00003B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D55" authorId="0" shapeId="0" xr:uid="{00000000-0006-0000-0200-00003C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E55" authorId="0" shapeId="0" xr:uid="{00000000-0006-0000-0200-00003D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F55" authorId="0" shapeId="0" xr:uid="{00000000-0006-0000-0200-00003E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G55" authorId="0" shapeId="0" xr:uid="{00000000-0006-0000-0200-00003F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H55" authorId="0" shapeId="0" xr:uid="{00000000-0006-0000-0200-000040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I55" authorId="0" shapeId="0" xr:uid="{00000000-0006-0000-0200-000041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J55" authorId="0" shapeId="0" xr:uid="{00000000-0006-0000-0200-000042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K55" authorId="0" shapeId="0" xr:uid="{00000000-0006-0000-0200-000043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L55" authorId="0" shapeId="0" xr:uid="{00000000-0006-0000-0200-000044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  <comment ref="M55" authorId="0" shapeId="0" xr:uid="{00000000-0006-0000-0200-000045000000}">
      <text>
        <r>
          <rPr>
            <sz val="9"/>
            <color indexed="81"/>
            <rFont val="Tahoma"/>
            <family val="2"/>
          </rPr>
          <t xml:space="preserve">
Renovations (Carpeting, Drywall, Windows, Painting</t>
        </r>
      </text>
    </comment>
  </commentList>
</comments>
</file>

<file path=xl/sharedStrings.xml><?xml version="1.0" encoding="utf-8"?>
<sst xmlns="http://schemas.openxmlformats.org/spreadsheetml/2006/main" count="216" uniqueCount="154">
  <si>
    <t>Maintenance 2007A</t>
  </si>
  <si>
    <t>Maintenance 2011A</t>
  </si>
  <si>
    <t>Maintenance 2011B</t>
  </si>
  <si>
    <t>Maintenance Exchange</t>
  </si>
  <si>
    <t>Maintenance HOW</t>
  </si>
  <si>
    <t>Maintenance 2009A</t>
  </si>
  <si>
    <t>Maintenance 2009B</t>
  </si>
  <si>
    <t>Rentals</t>
  </si>
  <si>
    <t>Maintenance 2008A</t>
  </si>
  <si>
    <t>Maintenance 2008B</t>
  </si>
  <si>
    <t>Maintenance 2010A</t>
  </si>
  <si>
    <t>Maintenance 2010B</t>
  </si>
  <si>
    <t>Extra Cleaning</t>
  </si>
  <si>
    <t>Interest</t>
  </si>
  <si>
    <t>Refunds</t>
  </si>
  <si>
    <t>Exchange Fee</t>
  </si>
  <si>
    <t>Other Income</t>
  </si>
  <si>
    <t>Interest Income</t>
  </si>
  <si>
    <t>Total Revenues</t>
  </si>
  <si>
    <t>EXPENSES</t>
  </si>
  <si>
    <t>Accounting Fees</t>
  </si>
  <si>
    <t>Bank Card Fees</t>
  </si>
  <si>
    <t>Bank Service Charges</t>
  </si>
  <si>
    <t>Dues &amp; Publications</t>
  </si>
  <si>
    <t>Insurance</t>
  </si>
  <si>
    <t>Maid Service</t>
  </si>
  <si>
    <t>Penalties</t>
  </si>
  <si>
    <t>Donations</t>
  </si>
  <si>
    <t>Repairs</t>
  </si>
  <si>
    <t>Maint. Bldg - Inside</t>
  </si>
  <si>
    <t>Maint. Bldg - Outside</t>
  </si>
  <si>
    <t>Supplies - General</t>
  </si>
  <si>
    <t>Supplies - Housekeeping</t>
  </si>
  <si>
    <t>Supplies - Office</t>
  </si>
  <si>
    <t>Taxes - Payroll</t>
  </si>
  <si>
    <t>Taxes - Property</t>
  </si>
  <si>
    <t>Utilities - Cablevision</t>
  </si>
  <si>
    <t>Utilities - Electric</t>
  </si>
  <si>
    <t>Utilities - Telephone</t>
  </si>
  <si>
    <t>Utilities - Water &amp; Sewer</t>
  </si>
  <si>
    <t>Utilities - Sanitation</t>
  </si>
  <si>
    <t>Wages &amp; Salaries - General</t>
  </si>
  <si>
    <t>Federal Income Taxes</t>
  </si>
  <si>
    <t>State Income Taxes</t>
  </si>
  <si>
    <t>Total Expenses</t>
  </si>
  <si>
    <t>Net Income</t>
  </si>
  <si>
    <t>Amount</t>
  </si>
  <si>
    <t>Maintenance 2007B</t>
  </si>
  <si>
    <t>Capital Outlay</t>
  </si>
  <si>
    <t>Health Insurance</t>
  </si>
  <si>
    <t>Meals &amp; Entertainment</t>
  </si>
  <si>
    <t>Maintenance 2012A</t>
  </si>
  <si>
    <t>Maintenance 2012B</t>
  </si>
  <si>
    <t>Total</t>
  </si>
  <si>
    <t>% Total Income</t>
  </si>
  <si>
    <t>10/1/06-9/30/07</t>
  </si>
  <si>
    <t>10/1/07-9/30/07</t>
  </si>
  <si>
    <t>10/1/08-9/30/09</t>
  </si>
  <si>
    <t>10/1/09-9/30/10</t>
  </si>
  <si>
    <t>10/1/11-9/30/12</t>
  </si>
  <si>
    <t>10/1/12-9/30/13</t>
  </si>
  <si>
    <t xml:space="preserve">                Total 2009</t>
  </si>
  <si>
    <t xml:space="preserve">                Total 2010</t>
  </si>
  <si>
    <t xml:space="preserve">                 Total 2011</t>
  </si>
  <si>
    <t xml:space="preserve">                 Total 2012</t>
  </si>
  <si>
    <t xml:space="preserve">                Total 2008</t>
  </si>
  <si>
    <t xml:space="preserve">               Total 2007</t>
  </si>
  <si>
    <t xml:space="preserve">            Utilities Total</t>
  </si>
  <si>
    <t xml:space="preserve">              Total 2006</t>
  </si>
  <si>
    <t>Maintenance 2013A</t>
  </si>
  <si>
    <t>Maintenance 2013B</t>
  </si>
  <si>
    <t xml:space="preserve">                 Total 2013</t>
  </si>
  <si>
    <t>Commissions</t>
  </si>
  <si>
    <t>Retained Earnings - Beg</t>
  </si>
  <si>
    <t>Retained Earnings - End</t>
  </si>
  <si>
    <t>Jan</t>
  </si>
  <si>
    <t>Feb</t>
  </si>
  <si>
    <t>Mar</t>
  </si>
  <si>
    <t>Apr</t>
  </si>
  <si>
    <t>May</t>
  </si>
  <si>
    <t>Jun</t>
  </si>
  <si>
    <t>Oct</t>
  </si>
  <si>
    <t>Nov</t>
  </si>
  <si>
    <t>Dec</t>
  </si>
  <si>
    <t>Jul</t>
  </si>
  <si>
    <t>Aug</t>
  </si>
  <si>
    <t>Sep</t>
  </si>
  <si>
    <t>Income</t>
  </si>
  <si>
    <t>Maintenance 2014B</t>
  </si>
  <si>
    <t>Maintenance 2014A</t>
  </si>
  <si>
    <t xml:space="preserve">      Utilities Total</t>
  </si>
  <si>
    <t>Legal Fees</t>
  </si>
  <si>
    <t>Assessment</t>
  </si>
  <si>
    <t>Sales A</t>
  </si>
  <si>
    <t>Sales B</t>
  </si>
  <si>
    <t>Net Surplus/(Deficit)</t>
  </si>
  <si>
    <t>Pet Fee</t>
  </si>
  <si>
    <t>Utilities:</t>
  </si>
  <si>
    <t>Occupancy Taxes</t>
  </si>
  <si>
    <t>Cleaning</t>
  </si>
  <si>
    <t>Credit Card Fees</t>
  </si>
  <si>
    <t>Deeds</t>
  </si>
  <si>
    <t>Utilities - DirecTV</t>
  </si>
  <si>
    <t>Advertising/POA Supplies</t>
  </si>
  <si>
    <t>Website Expense</t>
  </si>
  <si>
    <t>Taxes-Occupancy</t>
  </si>
  <si>
    <t>Postage</t>
  </si>
  <si>
    <t>Donations/Gift</t>
  </si>
  <si>
    <t>POL</t>
  </si>
  <si>
    <t>Legal &amp; Professional</t>
  </si>
  <si>
    <t>General Meeting</t>
  </si>
  <si>
    <t>Licenses &amp; Fees</t>
  </si>
  <si>
    <t>Commissions/advertising</t>
  </si>
  <si>
    <t>Collection Service Fees</t>
  </si>
  <si>
    <t>CC/PayPal</t>
  </si>
  <si>
    <t>Donation/POA Meeting</t>
  </si>
  <si>
    <t>Firelogs/Popcorn/Water</t>
  </si>
  <si>
    <t>Ski Tickets</t>
  </si>
  <si>
    <t>Rental Taxes</t>
  </si>
  <si>
    <t xml:space="preserve">                 Total 2017</t>
  </si>
  <si>
    <t>Maintenance 2017B</t>
  </si>
  <si>
    <t>Maintenance 2017A</t>
  </si>
  <si>
    <t xml:space="preserve">                 Total 2016</t>
  </si>
  <si>
    <t>Maintenance 2016B</t>
  </si>
  <si>
    <t>Maintenance 2016A</t>
  </si>
  <si>
    <t xml:space="preserve">                 Total 2015</t>
  </si>
  <si>
    <t>Maintenance 2015B</t>
  </si>
  <si>
    <t>Maintenance 2015A</t>
  </si>
  <si>
    <t xml:space="preserve">                 Total 2014</t>
  </si>
  <si>
    <t>Maintenance 2004-2006B</t>
  </si>
  <si>
    <t>Maintenance 2004-2006A</t>
  </si>
  <si>
    <t>REVENUE</t>
  </si>
  <si>
    <t>10/1/15-09/30/16</t>
  </si>
  <si>
    <t>10/1/14-9/30/15</t>
  </si>
  <si>
    <t>10/1/13-09/30/14</t>
  </si>
  <si>
    <t>10/1/10-9/30/11</t>
  </si>
  <si>
    <t>Capital Improvements</t>
  </si>
  <si>
    <t>VRBO Rentals (minus Fees)</t>
  </si>
  <si>
    <t>Advertising, Dues &amp; Publications</t>
  </si>
  <si>
    <t>Property Insurance</t>
  </si>
  <si>
    <t>Total Other Revenues</t>
  </si>
  <si>
    <t xml:space="preserve">            Total Maintenance Revenue</t>
  </si>
  <si>
    <t>Upgrade Fee</t>
  </si>
  <si>
    <t>Prior years Maintenance Dues</t>
  </si>
  <si>
    <t>HOW</t>
  </si>
  <si>
    <t>Long Term Lease</t>
  </si>
  <si>
    <t>Funds for capital improvement</t>
  </si>
  <si>
    <t>2022 BUDGET</t>
  </si>
  <si>
    <t>Maintenance 2022A (50 units owned)</t>
  </si>
  <si>
    <t>Maintenance 2020B (54 units owned)</t>
  </si>
  <si>
    <t>Total 2022 dues</t>
  </si>
  <si>
    <t>2022 Total Budget</t>
  </si>
  <si>
    <t>2021 ACTUAL</t>
  </si>
  <si>
    <t>2021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</si>
</sst>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_);\(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4" fontId="0" fillId="0" borderId="0" xfId="0" applyNumberFormat="1"/>
    <xf numFmtId="0" fontId="0" fillId="2" borderId="0" xfId="0" applyFill="1"/>
    <xf numFmtId="0" fontId="0" fillId="0" borderId="7" xfId="0" applyBorder="1"/>
    <xf numFmtId="0" fontId="0" fillId="0" borderId="9" xfId="0" applyBorder="1"/>
    <xf numFmtId="0" fontId="0" fillId="0" borderId="10" xfId="0" applyBorder="1"/>
    <xf numFmtId="4" fontId="0" fillId="0" borderId="9" xfId="0" applyNumberFormat="1" applyBorder="1"/>
    <xf numFmtId="0" fontId="0" fillId="0" borderId="12" xfId="0" applyBorder="1"/>
    <xf numFmtId="0" fontId="0" fillId="0" borderId="0" xfId="0" applyBorder="1"/>
    <xf numFmtId="0" fontId="0" fillId="4" borderId="9" xfId="0" applyFill="1" applyBorder="1"/>
    <xf numFmtId="4" fontId="0" fillId="4" borderId="9" xfId="0" applyNumberFormat="1" applyFill="1" applyBorder="1"/>
    <xf numFmtId="39" fontId="0" fillId="4" borderId="9" xfId="0" applyNumberFormat="1" applyFill="1" applyBorder="1"/>
    <xf numFmtId="4" fontId="0" fillId="4" borderId="11" xfId="0" applyNumberFormat="1" applyFill="1" applyBorder="1"/>
    <xf numFmtId="0" fontId="0" fillId="4" borderId="10" xfId="0" applyFill="1" applyBorder="1"/>
    <xf numFmtId="0" fontId="0" fillId="4" borderId="4" xfId="0" applyFill="1" applyBorder="1"/>
    <xf numFmtId="0" fontId="0" fillId="4" borderId="5" xfId="0" applyFill="1" applyBorder="1"/>
    <xf numFmtId="0" fontId="0" fillId="2" borderId="0" xfId="0" applyFill="1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40" fontId="1" fillId="4" borderId="2" xfId="0" applyNumberFormat="1" applyFont="1" applyFill="1" applyBorder="1"/>
    <xf numFmtId="0" fontId="0" fillId="4" borderId="11" xfId="0" applyFill="1" applyBorder="1"/>
    <xf numFmtId="4" fontId="0" fillId="0" borderId="10" xfId="0" applyNumberFormat="1" applyBorder="1"/>
    <xf numFmtId="4" fontId="0" fillId="4" borderId="10" xfId="0" applyNumberFormat="1" applyFill="1" applyBorder="1"/>
    <xf numFmtId="0" fontId="3" fillId="0" borderId="7" xfId="0" applyFont="1" applyBorder="1"/>
    <xf numFmtId="0" fontId="0" fillId="0" borderId="9" xfId="0" applyFont="1" applyBorder="1"/>
    <xf numFmtId="39" fontId="1" fillId="4" borderId="3" xfId="0" applyNumberFormat="1" applyFont="1" applyFill="1" applyBorder="1" applyAlignment="1">
      <alignment horizontal="right"/>
    </xf>
    <xf numFmtId="39" fontId="0" fillId="4" borderId="14" xfId="0" applyNumberFormat="1" applyFill="1" applyBorder="1"/>
    <xf numFmtId="39" fontId="0" fillId="4" borderId="13" xfId="0" applyNumberFormat="1" applyFill="1" applyBorder="1"/>
    <xf numFmtId="0" fontId="0" fillId="4" borderId="0" xfId="0" applyFill="1" applyBorder="1"/>
    <xf numFmtId="0" fontId="0" fillId="4" borderId="5" xfId="0" applyFill="1" applyBorder="1" applyAlignment="1">
      <alignment horizontal="center"/>
    </xf>
    <xf numFmtId="0" fontId="0" fillId="2" borderId="15" xfId="0" applyFill="1" applyBorder="1"/>
    <xf numFmtId="0" fontId="7" fillId="0" borderId="3" xfId="0" applyFont="1" applyBorder="1"/>
    <xf numFmtId="0" fontId="6" fillId="0" borderId="0" xfId="0" applyFont="1"/>
    <xf numFmtId="39" fontId="6" fillId="0" borderId="29" xfId="0" applyNumberFormat="1" applyFont="1" applyBorder="1" applyAlignment="1">
      <alignment horizontal="right"/>
    </xf>
    <xf numFmtId="39" fontId="6" fillId="0" borderId="0" xfId="0" applyNumberFormat="1" applyFont="1" applyBorder="1" applyAlignment="1">
      <alignment horizontal="right"/>
    </xf>
    <xf numFmtId="39" fontId="6" fillId="0" borderId="24" xfId="0" applyNumberFormat="1" applyFont="1" applyBorder="1" applyAlignment="1">
      <alignment horizontal="right"/>
    </xf>
    <xf numFmtId="39" fontId="6" fillId="0" borderId="0" xfId="0" applyNumberFormat="1" applyFont="1"/>
    <xf numFmtId="0" fontId="6" fillId="0" borderId="25" xfId="0" applyFont="1" applyBorder="1"/>
    <xf numFmtId="0" fontId="7" fillId="0" borderId="34" xfId="0" applyFont="1" applyBorder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Fill="1" applyBorder="1" applyAlignment="1">
      <alignment horizontal="right"/>
    </xf>
    <xf numFmtId="39" fontId="6" fillId="0" borderId="0" xfId="0" applyNumberFormat="1" applyFont="1" applyFill="1" applyBorder="1" applyAlignment="1">
      <alignment horizontal="right"/>
    </xf>
    <xf numFmtId="0" fontId="7" fillId="0" borderId="20" xfId="0" applyFont="1" applyBorder="1"/>
    <xf numFmtId="39" fontId="6" fillId="0" borderId="30" xfId="0" applyNumberFormat="1" applyFont="1" applyBorder="1"/>
    <xf numFmtId="39" fontId="6" fillId="0" borderId="32" xfId="0" applyNumberFormat="1" applyFont="1" applyBorder="1"/>
    <xf numFmtId="39" fontId="6" fillId="0" borderId="3" xfId="0" applyNumberFormat="1" applyFont="1" applyBorder="1"/>
    <xf numFmtId="0" fontId="0" fillId="4" borderId="0" xfId="0" applyFill="1"/>
    <xf numFmtId="4" fontId="0" fillId="4" borderId="0" xfId="0" applyNumberFormat="1" applyFill="1"/>
    <xf numFmtId="0" fontId="0" fillId="4" borderId="37" xfId="0" applyFill="1" applyBorder="1"/>
    <xf numFmtId="165" fontId="0" fillId="2" borderId="15" xfId="0" applyNumberFormat="1" applyFill="1" applyBorder="1"/>
    <xf numFmtId="37" fontId="0" fillId="4" borderId="11" xfId="0" applyNumberFormat="1" applyFill="1" applyBorder="1"/>
    <xf numFmtId="1" fontId="0" fillId="0" borderId="11" xfId="0" applyNumberFormat="1" applyBorder="1"/>
    <xf numFmtId="0" fontId="0" fillId="4" borderId="15" xfId="0" applyFill="1" applyBorder="1"/>
    <xf numFmtId="4" fontId="0" fillId="0" borderId="37" xfId="0" applyNumberFormat="1" applyBorder="1"/>
    <xf numFmtId="4" fontId="0" fillId="0" borderId="11" xfId="0" applyNumberFormat="1" applyBorder="1"/>
    <xf numFmtId="4" fontId="0" fillId="4" borderId="37" xfId="0" applyNumberFormat="1" applyFill="1" applyBorder="1"/>
    <xf numFmtId="0" fontId="0" fillId="0" borderId="37" xfId="0" applyBorder="1"/>
    <xf numFmtId="165" fontId="0" fillId="2" borderId="0" xfId="0" applyNumberFormat="1" applyFill="1" applyBorder="1"/>
    <xf numFmtId="37" fontId="0" fillId="4" borderId="9" xfId="0" applyNumberFormat="1" applyFill="1" applyBorder="1"/>
    <xf numFmtId="1" fontId="0" fillId="0" borderId="9" xfId="0" applyNumberFormat="1" applyBorder="1"/>
    <xf numFmtId="0" fontId="1" fillId="4" borderId="9" xfId="0" applyFont="1" applyFill="1" applyBorder="1"/>
    <xf numFmtId="3" fontId="0" fillId="0" borderId="9" xfId="0" applyNumberFormat="1" applyBorder="1"/>
    <xf numFmtId="38" fontId="0" fillId="4" borderId="9" xfId="0" applyNumberFormat="1" applyFill="1" applyBorder="1"/>
    <xf numFmtId="39" fontId="0" fillId="4" borderId="10" xfId="0" applyNumberFormat="1" applyFill="1" applyBorder="1"/>
    <xf numFmtId="3" fontId="0" fillId="4" borderId="9" xfId="0" applyNumberFormat="1" applyFill="1" applyBorder="1"/>
    <xf numFmtId="38" fontId="0" fillId="4" borderId="10" xfId="0" applyNumberFormat="1" applyFill="1" applyBorder="1"/>
    <xf numFmtId="164" fontId="0" fillId="2" borderId="0" xfId="0" applyNumberFormat="1" applyFill="1" applyBorder="1"/>
    <xf numFmtId="164" fontId="0" fillId="4" borderId="10" xfId="0" applyNumberFormat="1" applyFill="1" applyBorder="1"/>
    <xf numFmtId="164" fontId="0" fillId="4" borderId="0" xfId="0" applyNumberFormat="1" applyFill="1" applyBorder="1"/>
    <xf numFmtId="164" fontId="0" fillId="0" borderId="10" xfId="0" applyNumberFormat="1" applyBorder="1"/>
    <xf numFmtId="1" fontId="0" fillId="4" borderId="9" xfId="0" applyNumberFormat="1" applyFill="1" applyBorder="1"/>
    <xf numFmtId="39" fontId="0" fillId="0" borderId="10" xfId="0" applyNumberFormat="1" applyBorder="1"/>
    <xf numFmtId="1" fontId="0" fillId="0" borderId="7" xfId="0" applyNumberFormat="1" applyBorder="1"/>
    <xf numFmtId="4" fontId="0" fillId="4" borderId="1" xfId="0" applyNumberFormat="1" applyFill="1" applyBorder="1"/>
    <xf numFmtId="164" fontId="0" fillId="4" borderId="36" xfId="0" applyNumberFormat="1" applyFill="1" applyBorder="1"/>
    <xf numFmtId="165" fontId="0" fillId="4" borderId="3" xfId="0" applyNumberFormat="1" applyFill="1" applyBorder="1"/>
    <xf numFmtId="164" fontId="0" fillId="4" borderId="3" xfId="0" applyNumberFormat="1" applyFill="1" applyBorder="1"/>
    <xf numFmtId="1" fontId="0" fillId="4" borderId="2" xfId="0" applyNumberFormat="1" applyFill="1" applyBorder="1"/>
    <xf numFmtId="38" fontId="0" fillId="4" borderId="2" xfId="0" applyNumberFormat="1" applyFill="1" applyBorder="1"/>
    <xf numFmtId="164" fontId="0" fillId="0" borderId="36" xfId="0" applyNumberFormat="1" applyBorder="1"/>
    <xf numFmtId="1" fontId="0" fillId="0" borderId="36" xfId="0" applyNumberFormat="1" applyBorder="1"/>
    <xf numFmtId="37" fontId="0" fillId="4" borderId="2" xfId="0" applyNumberFormat="1" applyFill="1" applyBorder="1"/>
    <xf numFmtId="3" fontId="0" fillId="0" borderId="2" xfId="0" applyNumberFormat="1" applyBorder="1"/>
    <xf numFmtId="3" fontId="0" fillId="4" borderId="2" xfId="0" applyNumberFormat="1" applyFill="1" applyBorder="1"/>
    <xf numFmtId="164" fontId="0" fillId="4" borderId="15" xfId="0" applyNumberFormat="1" applyFill="1" applyBorder="1"/>
    <xf numFmtId="38" fontId="0" fillId="4" borderId="15" xfId="0" applyNumberFormat="1" applyFill="1" applyBorder="1"/>
    <xf numFmtId="164" fontId="0" fillId="0" borderId="37" xfId="0" applyNumberFormat="1" applyBorder="1"/>
    <xf numFmtId="164" fontId="0" fillId="4" borderId="37" xfId="0" applyNumberFormat="1" applyFill="1" applyBorder="1"/>
    <xf numFmtId="3" fontId="0" fillId="4" borderId="11" xfId="0" applyNumberFormat="1" applyFill="1" applyBorder="1"/>
    <xf numFmtId="38" fontId="0" fillId="4" borderId="0" xfId="0" applyNumberFormat="1" applyFill="1" applyBorder="1"/>
    <xf numFmtId="1" fontId="0" fillId="0" borderId="9" xfId="0" applyNumberFormat="1" applyFill="1" applyBorder="1"/>
    <xf numFmtId="164" fontId="0" fillId="2" borderId="35" xfId="0" applyNumberFormat="1" applyFill="1" applyBorder="1"/>
    <xf numFmtId="165" fontId="0" fillId="4" borderId="13" xfId="0" applyNumberFormat="1" applyFill="1" applyBorder="1"/>
    <xf numFmtId="164" fontId="0" fillId="2" borderId="13" xfId="0" applyNumberFormat="1" applyFill="1" applyBorder="1"/>
    <xf numFmtId="1" fontId="0" fillId="2" borderId="16" xfId="0" applyNumberFormat="1" applyFill="1" applyBorder="1"/>
    <xf numFmtId="164" fontId="0" fillId="4" borderId="13" xfId="0" applyNumberFormat="1" applyFill="1" applyBorder="1"/>
    <xf numFmtId="38" fontId="0" fillId="4" borderId="13" xfId="0" applyNumberFormat="1" applyFill="1" applyBorder="1"/>
    <xf numFmtId="164" fontId="0" fillId="0" borderId="35" xfId="0" applyNumberFormat="1" applyBorder="1"/>
    <xf numFmtId="1" fontId="0" fillId="0" borderId="16" xfId="0" applyNumberFormat="1" applyBorder="1"/>
    <xf numFmtId="37" fontId="0" fillId="4" borderId="16" xfId="0" applyNumberFormat="1" applyFill="1" applyBorder="1"/>
    <xf numFmtId="39" fontId="0" fillId="0" borderId="35" xfId="0" applyNumberFormat="1" applyBorder="1"/>
    <xf numFmtId="3" fontId="0" fillId="0" borderId="16" xfId="0" applyNumberFormat="1" applyBorder="1"/>
    <xf numFmtId="39" fontId="0" fillId="4" borderId="35" xfId="0" applyNumberFormat="1" applyFill="1" applyBorder="1"/>
    <xf numFmtId="3" fontId="0" fillId="4" borderId="16" xfId="0" applyNumberFormat="1" applyFill="1" applyBorder="1"/>
    <xf numFmtId="164" fontId="0" fillId="0" borderId="10" xfId="0" applyNumberFormat="1" applyFont="1" applyBorder="1"/>
    <xf numFmtId="164" fontId="0" fillId="0" borderId="0" xfId="0" applyNumberFormat="1" applyFont="1" applyBorder="1"/>
    <xf numFmtId="1" fontId="0" fillId="0" borderId="9" xfId="0" applyNumberFormat="1" applyFont="1" applyBorder="1"/>
    <xf numFmtId="37" fontId="0" fillId="4" borderId="9" xfId="0" applyNumberFormat="1" applyFont="1" applyFill="1" applyBorder="1"/>
    <xf numFmtId="3" fontId="0" fillId="0" borderId="9" xfId="0" applyNumberFormat="1" applyFont="1" applyBorder="1"/>
    <xf numFmtId="3" fontId="2" fillId="4" borderId="9" xfId="0" applyNumberFormat="1" applyFont="1" applyFill="1" applyBorder="1"/>
    <xf numFmtId="3" fontId="2" fillId="0" borderId="9" xfId="0" applyNumberFormat="1" applyFont="1" applyBorder="1"/>
    <xf numFmtId="164" fontId="0" fillId="0" borderId="0" xfId="0" applyNumberFormat="1" applyBorder="1"/>
    <xf numFmtId="164" fontId="0" fillId="4" borderId="8" xfId="0" applyNumberFormat="1" applyFill="1" applyBorder="1"/>
    <xf numFmtId="3" fontId="0" fillId="4" borderId="7" xfId="0" applyNumberFormat="1" applyFill="1" applyBorder="1"/>
    <xf numFmtId="37" fontId="0" fillId="4" borderId="0" xfId="0" applyNumberFormat="1" applyFill="1" applyBorder="1"/>
    <xf numFmtId="0" fontId="0" fillId="2" borderId="8" xfId="0" applyFill="1" applyBorder="1"/>
    <xf numFmtId="165" fontId="0" fillId="2" borderId="14" xfId="0" applyNumberFormat="1" applyFill="1" applyBorder="1"/>
    <xf numFmtId="0" fontId="0" fillId="4" borderId="8" xfId="0" applyFill="1" applyBorder="1"/>
    <xf numFmtId="37" fontId="0" fillId="4" borderId="7" xfId="0" applyNumberFormat="1" applyFill="1" applyBorder="1"/>
    <xf numFmtId="0" fontId="0" fillId="4" borderId="14" xfId="0" applyFill="1" applyBorder="1"/>
    <xf numFmtId="38" fontId="0" fillId="4" borderId="14" xfId="0" applyNumberFormat="1" applyFill="1" applyBorder="1"/>
    <xf numFmtId="0" fontId="0" fillId="0" borderId="8" xfId="0" applyBorder="1"/>
    <xf numFmtId="39" fontId="0" fillId="0" borderId="8" xfId="0" applyNumberFormat="1" applyBorder="1"/>
    <xf numFmtId="3" fontId="0" fillId="0" borderId="7" xfId="0" applyNumberFormat="1" applyBorder="1"/>
    <xf numFmtId="39" fontId="0" fillId="4" borderId="8" xfId="0" applyNumberFormat="1" applyFill="1" applyBorder="1"/>
    <xf numFmtId="0" fontId="0" fillId="2" borderId="36" xfId="0" applyFill="1" applyBorder="1"/>
    <xf numFmtId="165" fontId="0" fillId="2" borderId="3" xfId="0" applyNumberFormat="1" applyFill="1" applyBorder="1"/>
    <xf numFmtId="0" fontId="0" fillId="4" borderId="3" xfId="0" applyFill="1" applyBorder="1"/>
    <xf numFmtId="37" fontId="0" fillId="4" borderId="3" xfId="0" applyNumberFormat="1" applyFill="1" applyBorder="1"/>
    <xf numFmtId="0" fontId="0" fillId="0" borderId="3" xfId="0" applyBorder="1"/>
    <xf numFmtId="1" fontId="0" fillId="0" borderId="2" xfId="0" applyNumberFormat="1" applyBorder="1"/>
    <xf numFmtId="0" fontId="0" fillId="0" borderId="36" xfId="0" applyBorder="1"/>
    <xf numFmtId="39" fontId="0" fillId="4" borderId="36" xfId="0" applyNumberFormat="1" applyFill="1" applyBorder="1"/>
    <xf numFmtId="39" fontId="0" fillId="0" borderId="36" xfId="0" applyNumberFormat="1" applyBorder="1"/>
    <xf numFmtId="0" fontId="0" fillId="0" borderId="2" xfId="0" applyBorder="1"/>
    <xf numFmtId="2" fontId="0" fillId="4" borderId="14" xfId="0" applyNumberFormat="1" applyFill="1" applyBorder="1"/>
    <xf numFmtId="165" fontId="0" fillId="4" borderId="7" xfId="0" applyNumberFormat="1" applyFill="1" applyBorder="1"/>
    <xf numFmtId="2" fontId="0" fillId="0" borderId="8" xfId="0" applyNumberFormat="1" applyBorder="1"/>
    <xf numFmtId="1" fontId="0" fillId="2" borderId="7" xfId="0" applyNumberFormat="1" applyFill="1" applyBorder="1"/>
    <xf numFmtId="38" fontId="0" fillId="4" borderId="7" xfId="0" applyNumberFormat="1" applyFill="1" applyBorder="1"/>
    <xf numFmtId="39" fontId="0" fillId="2" borderId="14" xfId="0" applyNumberFormat="1" applyFill="1" applyBorder="1"/>
    <xf numFmtId="165" fontId="0" fillId="2" borderId="11" xfId="0" applyNumberFormat="1" applyFill="1" applyBorder="1"/>
    <xf numFmtId="37" fontId="0" fillId="4" borderId="10" xfId="0" applyNumberFormat="1" applyFill="1" applyBorder="1"/>
    <xf numFmtId="1" fontId="0" fillId="0" borderId="0" xfId="0" applyNumberFormat="1" applyFill="1" applyBorder="1"/>
    <xf numFmtId="39" fontId="0" fillId="2" borderId="10" xfId="0" applyNumberFormat="1" applyFill="1" applyBorder="1"/>
    <xf numFmtId="165" fontId="0" fillId="2" borderId="9" xfId="0" applyNumberFormat="1" applyFill="1" applyBorder="1"/>
    <xf numFmtId="164" fontId="0" fillId="2" borderId="10" xfId="0" applyNumberFormat="1" applyFill="1" applyBorder="1"/>
    <xf numFmtId="1" fontId="0" fillId="0" borderId="0" xfId="0" applyNumberFormat="1" applyBorder="1"/>
    <xf numFmtId="165" fontId="0" fillId="2" borderId="7" xfId="0" applyNumberFormat="1" applyFill="1" applyBorder="1"/>
    <xf numFmtId="164" fontId="0" fillId="2" borderId="37" xfId="0" applyNumberFormat="1" applyFill="1" applyBorder="1"/>
    <xf numFmtId="165" fontId="1" fillId="2" borderId="11" xfId="0" applyNumberFormat="1" applyFont="1" applyFill="1" applyBorder="1" applyAlignment="1">
      <alignment horizontal="right"/>
    </xf>
    <xf numFmtId="37" fontId="1" fillId="2" borderId="11" xfId="0" applyNumberFormat="1" applyFont="1" applyFill="1" applyBorder="1" applyAlignment="1">
      <alignment horizontal="right"/>
    </xf>
    <xf numFmtId="164" fontId="0" fillId="2" borderId="36" xfId="0" applyNumberFormat="1" applyFill="1" applyBorder="1"/>
    <xf numFmtId="1" fontId="1" fillId="2" borderId="2" xfId="0" applyNumberFormat="1" applyFont="1" applyFill="1" applyBorder="1" applyAlignment="1">
      <alignment horizontal="right"/>
    </xf>
    <xf numFmtId="38" fontId="1" fillId="4" borderId="15" xfId="0" applyNumberFormat="1" applyFont="1" applyFill="1" applyBorder="1" applyAlignment="1">
      <alignment horizontal="right"/>
    </xf>
    <xf numFmtId="39" fontId="1" fillId="2" borderId="36" xfId="0" applyNumberFormat="1" applyFont="1" applyFill="1" applyBorder="1" applyAlignment="1">
      <alignment horizontal="right"/>
    </xf>
    <xf numFmtId="37" fontId="1" fillId="4" borderId="2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9" fontId="1" fillId="4" borderId="36" xfId="0" applyNumberFormat="1" applyFont="1" applyFill="1" applyBorder="1" applyAlignment="1">
      <alignment horizontal="right"/>
    </xf>
    <xf numFmtId="3" fontId="1" fillId="4" borderId="2" xfId="0" applyNumberFormat="1" applyFont="1" applyFill="1" applyBorder="1" applyAlignment="1">
      <alignment horizontal="right"/>
    </xf>
    <xf numFmtId="0" fontId="0" fillId="4" borderId="36" xfId="0" applyFill="1" applyBorder="1" applyAlignment="1">
      <alignment horizontal="right"/>
    </xf>
    <xf numFmtId="0" fontId="1" fillId="3" borderId="0" xfId="0" applyFont="1" applyFill="1" applyBorder="1" applyAlignment="1">
      <alignment horizontal="left" indent="10"/>
    </xf>
    <xf numFmtId="165" fontId="0" fillId="2" borderId="2" xfId="0" applyNumberFormat="1" applyFill="1" applyBorder="1"/>
    <xf numFmtId="37" fontId="1" fillId="4" borderId="2" xfId="0" applyNumberFormat="1" applyFont="1" applyFill="1" applyBorder="1"/>
    <xf numFmtId="164" fontId="0" fillId="2" borderId="3" xfId="0" applyNumberFormat="1" applyFill="1" applyBorder="1"/>
    <xf numFmtId="1" fontId="1" fillId="2" borderId="3" xfId="0" applyNumberFormat="1" applyFont="1" applyFill="1" applyBorder="1"/>
    <xf numFmtId="164" fontId="0" fillId="2" borderId="15" xfId="0" applyNumberFormat="1" applyFill="1" applyBorder="1"/>
    <xf numFmtId="1" fontId="1" fillId="2" borderId="11" xfId="0" applyNumberFormat="1" applyFont="1" applyFill="1" applyBorder="1"/>
    <xf numFmtId="3" fontId="1" fillId="2" borderId="2" xfId="0" applyNumberFormat="1" applyFont="1" applyFill="1" applyBorder="1"/>
    <xf numFmtId="3" fontId="1" fillId="4" borderId="2" xfId="0" applyNumberFormat="1" applyFont="1" applyFill="1" applyBorder="1"/>
    <xf numFmtId="0" fontId="1" fillId="2" borderId="0" xfId="0" applyFont="1" applyFill="1"/>
    <xf numFmtId="37" fontId="1" fillId="4" borderId="9" xfId="0" applyNumberFormat="1" applyFont="1" applyFill="1" applyBorder="1"/>
    <xf numFmtId="37" fontId="1" fillId="4" borderId="7" xfId="0" applyNumberFormat="1" applyFont="1" applyFill="1" applyBorder="1"/>
    <xf numFmtId="165" fontId="0" fillId="2" borderId="8" xfId="0" applyNumberFormat="1" applyFill="1" applyBorder="1"/>
    <xf numFmtId="164" fontId="0" fillId="4" borderId="4" xfId="0" applyNumberFormat="1" applyFill="1" applyBorder="1"/>
    <xf numFmtId="165" fontId="0" fillId="2" borderId="10" xfId="0" applyNumberFormat="1" applyFill="1" applyBorder="1"/>
    <xf numFmtId="37" fontId="0" fillId="4" borderId="6" xfId="0" applyNumberFormat="1" applyFill="1" applyBorder="1"/>
    <xf numFmtId="1" fontId="1" fillId="2" borderId="0" xfId="0" applyNumberFormat="1" applyFont="1" applyFill="1" applyBorder="1"/>
    <xf numFmtId="37" fontId="0" fillId="4" borderId="5" xfId="0" applyNumberFormat="1" applyFill="1" applyBorder="1"/>
    <xf numFmtId="165" fontId="0" fillId="2" borderId="36" xfId="0" applyNumberFormat="1" applyFill="1" applyBorder="1"/>
    <xf numFmtId="164" fontId="0" fillId="4" borderId="1" xfId="0" applyNumberFormat="1" applyFill="1" applyBorder="1"/>
    <xf numFmtId="37" fontId="0" fillId="4" borderId="1" xfId="0" applyNumberFormat="1" applyFill="1" applyBorder="1"/>
    <xf numFmtId="1" fontId="0" fillId="2" borderId="11" xfId="0" applyNumberFormat="1" applyFont="1" applyFill="1" applyBorder="1"/>
    <xf numFmtId="164" fontId="0" fillId="2" borderId="8" xfId="0" applyNumberFormat="1" applyFill="1" applyBorder="1"/>
    <xf numFmtId="164" fontId="0" fillId="4" borderId="14" xfId="0" applyNumberFormat="1" applyFill="1" applyBorder="1"/>
    <xf numFmtId="1" fontId="0" fillId="2" borderId="7" xfId="0" applyNumberFormat="1" applyFont="1" applyFill="1" applyBorder="1"/>
    <xf numFmtId="1" fontId="1" fillId="2" borderId="7" xfId="0" applyNumberFormat="1" applyFont="1" applyFill="1" applyBorder="1"/>
    <xf numFmtId="37" fontId="1" fillId="4" borderId="3" xfId="0" applyNumberFormat="1" applyFont="1" applyFill="1" applyBorder="1"/>
    <xf numFmtId="38" fontId="1" fillId="4" borderId="3" xfId="0" applyNumberFormat="1" applyFont="1" applyFill="1" applyBorder="1"/>
    <xf numFmtId="38" fontId="0" fillId="4" borderId="0" xfId="0" applyNumberFormat="1" applyFont="1" applyFill="1" applyBorder="1"/>
    <xf numFmtId="38" fontId="0" fillId="4" borderId="14" xfId="0" applyNumberFormat="1" applyFont="1" applyFill="1" applyBorder="1"/>
    <xf numFmtId="165" fontId="1" fillId="4" borderId="7" xfId="0" applyNumberFormat="1" applyFont="1" applyFill="1" applyBorder="1"/>
    <xf numFmtId="1" fontId="1" fillId="2" borderId="14" xfId="0" applyNumberFormat="1" applyFont="1" applyFill="1" applyBorder="1"/>
    <xf numFmtId="38" fontId="1" fillId="4" borderId="7" xfId="0" applyNumberFormat="1" applyFont="1" applyFill="1" applyBorder="1"/>
    <xf numFmtId="1" fontId="1" fillId="2" borderId="2" xfId="0" applyNumberFormat="1" applyFont="1" applyFill="1" applyBorder="1"/>
    <xf numFmtId="38" fontId="1" fillId="4" borderId="11" xfId="0" applyNumberFormat="1" applyFont="1" applyFill="1" applyBorder="1"/>
    <xf numFmtId="1" fontId="0" fillId="2" borderId="9" xfId="0" applyNumberFormat="1" applyFill="1" applyBorder="1"/>
    <xf numFmtId="37" fontId="1" fillId="4" borderId="11" xfId="0" applyNumberFormat="1" applyFont="1" applyFill="1" applyBorder="1"/>
    <xf numFmtId="3" fontId="1" fillId="2" borderId="11" xfId="0" applyNumberFormat="1" applyFont="1" applyFill="1" applyBorder="1"/>
    <xf numFmtId="3" fontId="1" fillId="4" borderId="11" xfId="0" applyNumberFormat="1" applyFont="1" applyFill="1" applyBorder="1"/>
    <xf numFmtId="3" fontId="1" fillId="2" borderId="11" xfId="0" applyNumberFormat="1" applyFont="1" applyFill="1" applyBorder="1" applyAlignment="1">
      <alignment horizontal="right"/>
    </xf>
    <xf numFmtId="3" fontId="1" fillId="2" borderId="7" xfId="0" applyNumberFormat="1" applyFont="1" applyFill="1" applyBorder="1"/>
    <xf numFmtId="3" fontId="1" fillId="4" borderId="7" xfId="0" applyNumberFormat="1" applyFont="1" applyFill="1" applyBorder="1"/>
    <xf numFmtId="3" fontId="1" fillId="2" borderId="7" xfId="0" applyNumberFormat="1" applyFont="1" applyFill="1" applyBorder="1" applyAlignment="1">
      <alignment horizontal="right"/>
    </xf>
    <xf numFmtId="165" fontId="1" fillId="4" borderId="2" xfId="0" applyNumberFormat="1" applyFont="1" applyFill="1" applyBorder="1"/>
    <xf numFmtId="38" fontId="1" fillId="4" borderId="2" xfId="0" applyNumberFormat="1" applyFont="1" applyFill="1" applyBorder="1"/>
    <xf numFmtId="1" fontId="1" fillId="3" borderId="2" xfId="0" applyNumberFormat="1" applyFont="1" applyFill="1" applyBorder="1"/>
    <xf numFmtId="164" fontId="0" fillId="3" borderId="36" xfId="0" applyNumberFormat="1" applyFill="1" applyBorder="1"/>
    <xf numFmtId="3" fontId="1" fillId="3" borderId="2" xfId="0" applyNumberFormat="1" applyFont="1" applyFill="1" applyBorder="1"/>
    <xf numFmtId="2" fontId="0" fillId="2" borderId="10" xfId="0" applyNumberFormat="1" applyFill="1" applyBorder="1" applyAlignment="1">
      <alignment horizontal="right"/>
    </xf>
    <xf numFmtId="165" fontId="0" fillId="2" borderId="10" xfId="0" applyNumberFormat="1" applyFill="1" applyBorder="1" applyAlignment="1">
      <alignment horizontal="right"/>
    </xf>
    <xf numFmtId="2" fontId="0" fillId="4" borderId="10" xfId="0" applyNumberFormat="1" applyFill="1" applyBorder="1" applyAlignment="1">
      <alignment horizontal="right"/>
    </xf>
    <xf numFmtId="1" fontId="0" fillId="2" borderId="0" xfId="0" applyNumberFormat="1" applyFill="1" applyBorder="1"/>
    <xf numFmtId="38" fontId="0" fillId="4" borderId="11" xfId="0" applyNumberFormat="1" applyFill="1" applyBorder="1"/>
    <xf numFmtId="3" fontId="0" fillId="2" borderId="9" xfId="0" applyNumberFormat="1" applyFill="1" applyBorder="1"/>
    <xf numFmtId="1" fontId="0" fillId="2" borderId="0" xfId="0" applyNumberFormat="1" applyFill="1"/>
    <xf numFmtId="1" fontId="1" fillId="4" borderId="2" xfId="0" applyNumberFormat="1" applyFont="1" applyFill="1" applyBorder="1"/>
    <xf numFmtId="4" fontId="1" fillId="0" borderId="0" xfId="0" applyNumberFormat="1" applyFont="1"/>
    <xf numFmtId="165" fontId="0" fillId="2" borderId="6" xfId="0" applyNumberFormat="1" applyFill="1" applyBorder="1"/>
    <xf numFmtId="165" fontId="0" fillId="2" borderId="4" xfId="0" applyNumberFormat="1" applyFill="1" applyBorder="1"/>
    <xf numFmtId="0" fontId="1" fillId="2" borderId="0" xfId="0" applyFont="1" applyFill="1" applyBorder="1"/>
    <xf numFmtId="164" fontId="0" fillId="3" borderId="37" xfId="0" applyNumberFormat="1" applyFill="1" applyBorder="1"/>
    <xf numFmtId="0" fontId="1" fillId="0" borderId="0" xfId="0" applyFont="1"/>
    <xf numFmtId="39" fontId="1" fillId="4" borderId="36" xfId="0" applyNumberFormat="1" applyFont="1" applyFill="1" applyBorder="1"/>
    <xf numFmtId="39" fontId="1" fillId="3" borderId="36" xfId="0" applyNumberFormat="1" applyFont="1" applyFill="1" applyBorder="1"/>
    <xf numFmtId="1" fontId="0" fillId="0" borderId="0" xfId="0" applyNumberFormat="1"/>
    <xf numFmtId="0" fontId="1" fillId="3" borderId="36" xfId="0" applyFont="1" applyFill="1" applyBorder="1"/>
    <xf numFmtId="0" fontId="0" fillId="2" borderId="10" xfId="0" applyFill="1" applyBorder="1"/>
    <xf numFmtId="4" fontId="0" fillId="2" borderId="9" xfId="0" applyNumberFormat="1" applyFill="1" applyBorder="1"/>
    <xf numFmtId="0" fontId="0" fillId="0" borderId="37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4" borderId="37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/>
    </xf>
    <xf numFmtId="14" fontId="0" fillId="4" borderId="11" xfId="0" applyNumberFormat="1" applyFont="1" applyFill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0" fillId="4" borderId="11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2" xfId="0" applyFont="1" applyBorder="1"/>
    <xf numFmtId="2" fontId="7" fillId="0" borderId="3" xfId="0" applyNumberFormat="1" applyFont="1" applyBorder="1"/>
    <xf numFmtId="0" fontId="7" fillId="0" borderId="3" xfId="0" applyFont="1" applyFill="1" applyBorder="1"/>
    <xf numFmtId="0" fontId="7" fillId="0" borderId="36" xfId="0" applyFont="1" applyBorder="1"/>
    <xf numFmtId="0" fontId="7" fillId="0" borderId="38" xfId="0" applyFont="1" applyBorder="1"/>
    <xf numFmtId="2" fontId="7" fillId="0" borderId="31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3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7" xfId="0" applyFont="1" applyBorder="1"/>
    <xf numFmtId="39" fontId="7" fillId="0" borderId="33" xfId="0" applyNumberFormat="1" applyFont="1" applyBorder="1" applyAlignment="1">
      <alignment horizontal="right"/>
    </xf>
    <xf numFmtId="39" fontId="7" fillId="0" borderId="12" xfId="0" applyNumberFormat="1" applyFont="1" applyBorder="1" applyAlignment="1">
      <alignment horizontal="right"/>
    </xf>
    <xf numFmtId="0" fontId="7" fillId="2" borderId="25" xfId="0" applyFont="1" applyFill="1" applyBorder="1"/>
    <xf numFmtId="39" fontId="7" fillId="0" borderId="29" xfId="0" applyNumberFormat="1" applyFont="1" applyBorder="1" applyAlignment="1">
      <alignment horizontal="right"/>
    </xf>
    <xf numFmtId="39" fontId="7" fillId="0" borderId="0" xfId="0" applyNumberFormat="1" applyFont="1" applyBorder="1" applyAlignment="1">
      <alignment horizontal="right"/>
    </xf>
    <xf numFmtId="39" fontId="7" fillId="0" borderId="24" xfId="0" applyNumberFormat="1" applyFont="1" applyBorder="1" applyAlignment="1">
      <alignment horizontal="right"/>
    </xf>
    <xf numFmtId="39" fontId="7" fillId="0" borderId="26" xfId="0" applyNumberFormat="1" applyFont="1" applyBorder="1" applyAlignment="1">
      <alignment horizontal="right"/>
    </xf>
    <xf numFmtId="39" fontId="7" fillId="0" borderId="19" xfId="0" applyNumberFormat="1" applyFont="1" applyBorder="1" applyAlignment="1">
      <alignment horizontal="right"/>
    </xf>
    <xf numFmtId="39" fontId="7" fillId="0" borderId="13" xfId="0" applyNumberFormat="1" applyFont="1" applyBorder="1" applyAlignment="1">
      <alignment horizontal="right"/>
    </xf>
    <xf numFmtId="39" fontId="7" fillId="0" borderId="17" xfId="0" applyNumberFormat="1" applyFont="1" applyBorder="1" applyAlignment="1">
      <alignment horizontal="right"/>
    </xf>
    <xf numFmtId="39" fontId="7" fillId="0" borderId="30" xfId="0" applyNumberFormat="1" applyFont="1" applyBorder="1" applyAlignment="1">
      <alignment horizontal="right"/>
    </xf>
    <xf numFmtId="39" fontId="7" fillId="0" borderId="3" xfId="0" applyNumberFormat="1" applyFont="1" applyBorder="1" applyAlignment="1">
      <alignment horizontal="right"/>
    </xf>
    <xf numFmtId="39" fontId="7" fillId="0" borderId="32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25" xfId="0" applyFont="1" applyBorder="1"/>
    <xf numFmtId="39" fontId="7" fillId="0" borderId="1" xfId="0" applyNumberFormat="1" applyFont="1" applyBorder="1" applyAlignment="1">
      <alignment horizontal="right"/>
    </xf>
    <xf numFmtId="0" fontId="7" fillId="0" borderId="0" xfId="0" applyFont="1" applyBorder="1"/>
    <xf numFmtId="2" fontId="7" fillId="0" borderId="30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3" xfId="0" applyFont="1" applyBorder="1" applyAlignment="1">
      <alignment horizontal="left" indent="1"/>
    </xf>
    <xf numFmtId="39" fontId="7" fillId="0" borderId="28" xfId="0" applyNumberFormat="1" applyFont="1" applyBorder="1" applyAlignment="1">
      <alignment horizontal="right"/>
    </xf>
    <xf numFmtId="39" fontId="7" fillId="0" borderId="21" xfId="0" applyNumberFormat="1" applyFont="1" applyBorder="1" applyAlignment="1">
      <alignment horizontal="right"/>
    </xf>
    <xf numFmtId="39" fontId="7" fillId="0" borderId="22" xfId="0" applyNumberFormat="1" applyFont="1" applyBorder="1" applyAlignment="1">
      <alignment horizontal="right"/>
    </xf>
    <xf numFmtId="0" fontId="7" fillId="0" borderId="25" xfId="0" applyFont="1" applyBorder="1" applyAlignment="1">
      <alignment horizontal="left" indent="1"/>
    </xf>
    <xf numFmtId="0" fontId="7" fillId="0" borderId="27" xfId="0" applyFont="1" applyBorder="1" applyAlignment="1">
      <alignment horizontal="left" indent="1"/>
    </xf>
    <xf numFmtId="0" fontId="7" fillId="0" borderId="23" xfId="0" applyFont="1" applyBorder="1"/>
    <xf numFmtId="0" fontId="8" fillId="0" borderId="3" xfId="0" applyFont="1" applyBorder="1"/>
    <xf numFmtId="0" fontId="7" fillId="0" borderId="34" xfId="0" applyFont="1" applyBorder="1" applyAlignment="1">
      <alignment horizontal="right"/>
    </xf>
    <xf numFmtId="0" fontId="7" fillId="2" borderId="34" xfId="0" applyFont="1" applyFill="1" applyBorder="1" applyAlignment="1">
      <alignment horizontal="right"/>
    </xf>
    <xf numFmtId="0" fontId="6" fillId="0" borderId="1" xfId="0" applyFont="1" applyBorder="1"/>
    <xf numFmtId="39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39" fontId="7" fillId="0" borderId="9" xfId="0" applyNumberFormat="1" applyFont="1" applyBorder="1" applyAlignment="1">
      <alignment horizontal="right"/>
    </xf>
    <xf numFmtId="39" fontId="7" fillId="0" borderId="16" xfId="0" applyNumberFormat="1" applyFont="1" applyBorder="1" applyAlignment="1">
      <alignment horizontal="right"/>
    </xf>
    <xf numFmtId="39" fontId="7" fillId="0" borderId="39" xfId="0" applyNumberFormat="1" applyFont="1" applyBorder="1" applyAlignment="1">
      <alignment horizontal="right"/>
    </xf>
    <xf numFmtId="39" fontId="7" fillId="0" borderId="40" xfId="0" applyNumberFormat="1" applyFont="1" applyBorder="1" applyAlignment="1">
      <alignment horizontal="right"/>
    </xf>
    <xf numFmtId="39" fontId="6" fillId="0" borderId="9" xfId="0" applyNumberFormat="1" applyFont="1" applyBorder="1" applyAlignment="1">
      <alignment horizontal="right"/>
    </xf>
    <xf numFmtId="39" fontId="7" fillId="0" borderId="2" xfId="0" applyNumberFormat="1" applyFont="1" applyBorder="1"/>
    <xf numFmtId="0" fontId="7" fillId="0" borderId="1" xfId="0" applyFont="1" applyBorder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1" xfId="0" applyNumberFormat="1" applyFont="1" applyBorder="1"/>
    <xf numFmtId="0" fontId="7" fillId="0" borderId="5" xfId="0" applyFont="1" applyBorder="1"/>
    <xf numFmtId="4" fontId="6" fillId="0" borderId="0" xfId="0" applyNumberFormat="1" applyFont="1" applyBorder="1"/>
    <xf numFmtId="0" fontId="7" fillId="0" borderId="0" xfId="0" applyFont="1"/>
    <xf numFmtId="4" fontId="7" fillId="0" borderId="1" xfId="0" applyNumberFormat="1" applyFont="1" applyBorder="1" applyAlignment="1">
      <alignment horizontal="center"/>
    </xf>
    <xf numFmtId="4" fontId="7" fillId="0" borderId="18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4" fontId="0" fillId="4" borderId="9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/>
    <xf numFmtId="0" fontId="0" fillId="0" borderId="37" xfId="0" applyBorder="1" applyAlignment="1"/>
    <xf numFmtId="0" fontId="0" fillId="4" borderId="10" xfId="0" applyFill="1" applyBorder="1" applyAlignment="1">
      <alignment horizontal="center"/>
    </xf>
    <xf numFmtId="0" fontId="0" fillId="4" borderId="7" xfId="0" applyNumberFormat="1" applyFill="1" applyBorder="1" applyAlignment="1">
      <alignment horizontal="center"/>
    </xf>
    <xf numFmtId="0" fontId="0" fillId="4" borderId="8" xfId="0" applyNumberFormat="1" applyFill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2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598862642169728"/>
          <c:y val="7.4548702245552628E-2"/>
          <c:w val="0.6222342519685039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v>REVENUE</c:v>
          </c:tx>
          <c:invertIfNegative val="0"/>
          <c:val>
            <c:numRef>
              <c:f>('2007-2016'!$B$56,'2007-2016'!$D$56,'2007-2016'!$F$56,'2007-2016'!$H$56,'2007-2016'!$J$56,'2007-2016'!$L$56,'2007-2016'!$N$56)</c:f>
              <c:numCache>
                <c:formatCode>#,##0</c:formatCode>
                <c:ptCount val="7"/>
                <c:pt idx="0">
                  <c:v>136581.75</c:v>
                </c:pt>
                <c:pt idx="1">
                  <c:v>113429.1</c:v>
                </c:pt>
                <c:pt idx="2">
                  <c:v>108945.21</c:v>
                </c:pt>
                <c:pt idx="3">
                  <c:v>83167.98</c:v>
                </c:pt>
                <c:pt idx="4" formatCode="#,##0_);\(#,##0\)">
                  <c:v>99640.86</c:v>
                </c:pt>
                <c:pt idx="5" formatCode="0">
                  <c:v>76760.06</c:v>
                </c:pt>
                <c:pt idx="6" formatCode="#,##0_);[Red]\(#,##0\)">
                  <c:v>81292.160000000003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5-4FEC-A44A-E20CB041D92B}"/>
            </c:ext>
          </c:extLst>
        </c:ser>
        <c:ser>
          <c:idx val="1"/>
          <c:order val="1"/>
          <c:tx>
            <c:v>EXPENSES</c:v>
          </c:tx>
          <c:invertIfNegative val="0"/>
          <c:val>
            <c:numRef>
              <c:f>('2007-2016'!$B$99,'2007-2016'!$D$99,'2007-2016'!$F$99,'2007-2016'!$H$99,'2007-2016'!$J$99,'2007-2016'!$L$99,'2007-2016'!$N$99)</c:f>
              <c:numCache>
                <c:formatCode>#,##0</c:formatCode>
                <c:ptCount val="7"/>
                <c:pt idx="0">
                  <c:v>135479.66999999998</c:v>
                </c:pt>
                <c:pt idx="1">
                  <c:v>134606.28</c:v>
                </c:pt>
                <c:pt idx="2">
                  <c:v>109613.08</c:v>
                </c:pt>
                <c:pt idx="3">
                  <c:v>73793.77</c:v>
                </c:pt>
                <c:pt idx="4" formatCode="#,##0_);\(#,##0\)">
                  <c:v>106856.64000000001</c:v>
                </c:pt>
                <c:pt idx="5" formatCode="0">
                  <c:v>82314.25999999998</c:v>
                </c:pt>
                <c:pt idx="6" formatCode="#,##0_);[Red]\(#,##0\)">
                  <c:v>92139.63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5-4FEC-A44A-E20CB041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174336"/>
        <c:axId val="210175872"/>
      </c:barChart>
      <c:catAx>
        <c:axId val="21017433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crossAx val="210175872"/>
        <c:crosses val="autoZero"/>
        <c:auto val="1"/>
        <c:lblAlgn val="ctr"/>
        <c:lblOffset val="100"/>
        <c:noMultiLvlLbl val="0"/>
      </c:catAx>
      <c:valAx>
        <c:axId val="210175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0174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87101792858197"/>
          <c:y val="9.8406516347485998E-2"/>
          <c:w val="0.10349068375316788"/>
          <c:h val="0.137379222718332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-3" vertic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246528</xdr:colOff>
      <xdr:row>117</xdr:row>
      <xdr:rowOff>51543</xdr:rowOff>
    </xdr:from>
    <xdr:to>
      <xdr:col>11</xdr:col>
      <xdr:colOff>369795</xdr:colOff>
      <xdr:row>135</xdr:row>
      <xdr:rowOff>67233</xdr:rowOff>
    </xdr:to>
    <xdr:graphicFrame macro="">
      <xdr:nvGraphicFramePr>
        <xdr:cNvPr id="2" name="Chart 1" title="REVEN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0.02551</cdr:x>
      <cdr:y>0.21601</cdr:y>
    </cdr:from>
    <cdr:to>
      <cdr:x>0.2534</cdr:x>
      <cdr:y>0.44698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091" y="744073"/>
          <a:ext cx="1501588" cy="795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CHRISTIE VILLAGE</a:t>
          </a:r>
        </a:p>
        <a:p xmlns:a="http://schemas.openxmlformats.org/drawingml/2006/main">
          <a:r>
            <a:rPr lang="en-US" sz="1100" b="1"/>
            <a:t>REVENUE/EXPENSES</a:t>
          </a:r>
        </a:p>
        <a:p xmlns:a="http://schemas.openxmlformats.org/drawingml/2006/main">
          <a:r>
            <a:rPr lang="en-US" sz="1100" b="1"/>
            <a:t>ANALYSIS 2007-2013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R119"/>
  <sheetViews>
    <sheetView topLeftCell="B1" zoomScale="84" zoomScaleNormal="84" workbookViewId="0">
      <pane ySplit="3" topLeftCell="A74" activePane="bottomLeft" state="frozen"/>
      <selection activeCell="E42" sqref="E42"/>
      <selection pane="bottomLeft" activeCell="T40" sqref="T40"/>
    </sheetView>
  </sheetViews>
  <sheetFormatPr defaultRowHeight="14.3" x14ac:dyDescent="0.25"/>
  <cols>
    <col min="1" max="1" width="23.125" customWidth="1"/>
    <col min="2" max="2" width="8.625" style="48" customWidth="1"/>
    <col min="3" max="3" width="8.125" style="48" customWidth="1"/>
    <col min="4" max="4" width="10" customWidth="1"/>
    <col min="5" max="5" width="8.625" customWidth="1"/>
    <col min="6" max="6" width="11.125" style="49" customWidth="1"/>
    <col min="7" max="7" width="7.5" style="49" customWidth="1"/>
    <col min="8" max="8" width="10.875" style="1" customWidth="1"/>
    <col min="9" max="9" width="7.5" style="1" customWidth="1"/>
    <col min="10" max="10" width="8.875" style="48" customWidth="1"/>
    <col min="11" max="11" width="8" style="48" customWidth="1"/>
    <col min="12" max="12" width="10" customWidth="1"/>
    <col min="13" max="13" width="8.625" customWidth="1"/>
    <col min="14" max="14" width="10.875" style="48" customWidth="1"/>
    <col min="15" max="15" width="9.125" style="48" customWidth="1"/>
    <col min="16" max="16" width="10.5" customWidth="1"/>
    <col min="17" max="18" width="10.375" customWidth="1"/>
    <col min="19" max="19" width="8.625" customWidth="1"/>
    <col min="20" max="21" width="9.5" style="2" customWidth="1"/>
    <col min="22" max="22" width="13.875" style="48" customWidth="1"/>
    <col min="23" max="23" width="5.625" customWidth="1"/>
    <col min="24" max="24" width="8.125" customWidth="1"/>
    <col min="26" max="26" width="14.875" customWidth="1"/>
  </cols>
  <sheetData>
    <row r="1" spans="1:23" x14ac:dyDescent="0.25">
      <c r="A1" s="3"/>
      <c r="B1" s="318">
        <v>2007</v>
      </c>
      <c r="C1" s="319"/>
      <c r="D1" s="320">
        <v>2008</v>
      </c>
      <c r="E1" s="303"/>
      <c r="F1" s="318">
        <v>2009</v>
      </c>
      <c r="G1" s="319"/>
      <c r="H1" s="320">
        <v>2010</v>
      </c>
      <c r="I1" s="303"/>
      <c r="J1" s="306">
        <v>2011</v>
      </c>
      <c r="K1" s="307"/>
      <c r="L1" s="310">
        <v>2012</v>
      </c>
      <c r="M1" s="303"/>
      <c r="N1" s="306">
        <v>2013</v>
      </c>
      <c r="O1" s="307"/>
      <c r="P1" s="302">
        <v>2014</v>
      </c>
      <c r="Q1" s="303"/>
      <c r="R1" s="306">
        <v>2015</v>
      </c>
      <c r="S1" s="307"/>
      <c r="T1" s="302">
        <v>2016</v>
      </c>
      <c r="U1" s="303"/>
      <c r="V1" s="14"/>
    </row>
    <row r="2" spans="1:23" x14ac:dyDescent="0.25">
      <c r="A2" s="4"/>
      <c r="B2" s="308" t="s">
        <v>55</v>
      </c>
      <c r="C2" s="309"/>
      <c r="D2" s="311" t="s">
        <v>56</v>
      </c>
      <c r="E2" s="305"/>
      <c r="F2" s="308" t="s">
        <v>57</v>
      </c>
      <c r="G2" s="309"/>
      <c r="H2" s="311" t="s">
        <v>58</v>
      </c>
      <c r="I2" s="305"/>
      <c r="J2" s="308" t="s">
        <v>135</v>
      </c>
      <c r="K2" s="317"/>
      <c r="L2" s="311" t="s">
        <v>59</v>
      </c>
      <c r="M2" s="312"/>
      <c r="N2" s="308" t="s">
        <v>60</v>
      </c>
      <c r="O2" s="309"/>
      <c r="P2" s="304" t="s">
        <v>134</v>
      </c>
      <c r="Q2" s="305"/>
      <c r="R2" s="308" t="s">
        <v>133</v>
      </c>
      <c r="S2" s="309"/>
      <c r="T2" s="304" t="s">
        <v>132</v>
      </c>
      <c r="U2" s="305"/>
      <c r="V2" s="15"/>
    </row>
    <row r="3" spans="1:23" ht="31.6" customHeight="1" thickBot="1" x14ac:dyDescent="0.45">
      <c r="A3" s="238" t="s">
        <v>131</v>
      </c>
      <c r="B3" s="237" t="s">
        <v>46</v>
      </c>
      <c r="C3" s="233" t="s">
        <v>54</v>
      </c>
      <c r="D3" s="236" t="s">
        <v>46</v>
      </c>
      <c r="E3" s="231" t="s">
        <v>54</v>
      </c>
      <c r="F3" s="237" t="s">
        <v>46</v>
      </c>
      <c r="G3" s="233" t="s">
        <v>54</v>
      </c>
      <c r="H3" s="236" t="s">
        <v>46</v>
      </c>
      <c r="I3" s="231" t="s">
        <v>54</v>
      </c>
      <c r="J3" s="235" t="s">
        <v>46</v>
      </c>
      <c r="K3" s="233" t="s">
        <v>54</v>
      </c>
      <c r="L3" s="232" t="s">
        <v>46</v>
      </c>
      <c r="M3" s="231" t="s">
        <v>54</v>
      </c>
      <c r="N3" s="234" t="s">
        <v>46</v>
      </c>
      <c r="O3" s="233" t="s">
        <v>54</v>
      </c>
      <c r="P3" s="232" t="s">
        <v>46</v>
      </c>
      <c r="Q3" s="231" t="s">
        <v>54</v>
      </c>
      <c r="R3" s="234" t="s">
        <v>46</v>
      </c>
      <c r="S3" s="233" t="s">
        <v>54</v>
      </c>
      <c r="T3" s="232" t="s">
        <v>46</v>
      </c>
      <c r="U3" s="231" t="s">
        <v>54</v>
      </c>
      <c r="V3" s="30" t="s">
        <v>53</v>
      </c>
    </row>
    <row r="4" spans="1:23" x14ac:dyDescent="0.25">
      <c r="A4" s="2" t="s">
        <v>130</v>
      </c>
      <c r="B4" s="66">
        <v>4900.8900000000003</v>
      </c>
      <c r="C4" s="69">
        <f>B4/B56*100</f>
        <v>3.5882465995639974</v>
      </c>
      <c r="D4" s="216">
        <v>570</v>
      </c>
      <c r="E4" s="71">
        <f>D4/D56*100</f>
        <v>0.50251654998585016</v>
      </c>
      <c r="F4" s="66"/>
      <c r="G4" s="65"/>
      <c r="H4" s="230"/>
      <c r="I4" s="146"/>
      <c r="J4" s="11"/>
      <c r="K4" s="65"/>
      <c r="L4" s="198"/>
      <c r="M4" s="229"/>
      <c r="N4" s="64">
        <f>285+259+259</f>
        <v>803</v>
      </c>
      <c r="O4" s="69">
        <f>N4/N56*100</f>
        <v>0.98779513301159672</v>
      </c>
      <c r="P4" s="217">
        <f>274.41+500</f>
        <v>774.41000000000008</v>
      </c>
      <c r="Q4" s="148">
        <f>P4/P56*100</f>
        <v>0.55777354427234316</v>
      </c>
      <c r="R4" s="144">
        <f>518+259+285</f>
        <v>1062</v>
      </c>
      <c r="S4" s="69">
        <f>R4/R56*100</f>
        <v>0.89640178247215463</v>
      </c>
      <c r="T4" s="177">
        <f>500+500+500</f>
        <v>1500</v>
      </c>
      <c r="U4" s="148">
        <f>T4/T56*100</f>
        <v>1.2938109174697854</v>
      </c>
      <c r="V4" s="23">
        <f t="shared" ref="V4:V35" si="0">+B4+D4+F4+H4+J4+L4+N4+P4+R4+T4</f>
        <v>9610.2999999999993</v>
      </c>
    </row>
    <row r="5" spans="1:23" ht="14.95" thickBot="1" x14ac:dyDescent="0.3">
      <c r="A5" s="2" t="s">
        <v>129</v>
      </c>
      <c r="B5" s="66">
        <v>3201</v>
      </c>
      <c r="C5" s="89">
        <f>B5/B56*100</f>
        <v>2.3436513296981478</v>
      </c>
      <c r="D5" s="216">
        <v>372</v>
      </c>
      <c r="E5" s="88">
        <f>D5/D56*100</f>
        <v>0.32795816946444956</v>
      </c>
      <c r="F5" s="66"/>
      <c r="G5" s="65"/>
      <c r="H5" s="230"/>
      <c r="I5" s="146"/>
      <c r="J5" s="60"/>
      <c r="K5" s="65"/>
      <c r="L5" s="198"/>
      <c r="M5" s="229"/>
      <c r="N5" s="64"/>
      <c r="O5" s="13"/>
      <c r="P5" s="217"/>
      <c r="Q5" s="229"/>
      <c r="R5" s="144"/>
      <c r="S5" s="13"/>
      <c r="T5" s="177"/>
      <c r="U5" s="229"/>
      <c r="V5" s="23">
        <f t="shared" si="0"/>
        <v>3573</v>
      </c>
    </row>
    <row r="6" spans="1:23" ht="14.95" thickBot="1" x14ac:dyDescent="0.3">
      <c r="A6" s="224" t="s">
        <v>68</v>
      </c>
      <c r="B6" s="171">
        <f>SUM(B4:B5)</f>
        <v>8101.89</v>
      </c>
      <c r="C6" s="76">
        <f>B6/B56*100</f>
        <v>5.9318979292621457</v>
      </c>
      <c r="D6" s="210">
        <f>SUM(D4:D5)</f>
        <v>942</v>
      </c>
      <c r="E6" s="223">
        <f>D6/D56*100</f>
        <v>0.83047471945029983</v>
      </c>
      <c r="F6" s="171">
        <f>SUM(F4:F5)</f>
        <v>0</v>
      </c>
      <c r="G6" s="225"/>
      <c r="H6" s="210">
        <f>SUM(H4:H5)</f>
        <v>0</v>
      </c>
      <c r="I6" s="226"/>
      <c r="J6" s="165">
        <f>SUM(J4:J5)</f>
        <v>0</v>
      </c>
      <c r="K6" s="225"/>
      <c r="L6" s="208">
        <f>SUM(L4:L5)</f>
        <v>0</v>
      </c>
      <c r="M6" s="228"/>
      <c r="N6" s="207">
        <f>SUM(N4:N5)</f>
        <v>803</v>
      </c>
      <c r="O6" s="76">
        <f>N6/N56*100</f>
        <v>0.98779513301159672</v>
      </c>
      <c r="P6" s="196">
        <f>SUM(P4:P5)</f>
        <v>774.41000000000008</v>
      </c>
      <c r="Q6" s="154">
        <f>P6/P56*100</f>
        <v>0.55777354427234316</v>
      </c>
      <c r="R6" s="165">
        <f>SUM(R4:R5)</f>
        <v>1062</v>
      </c>
      <c r="S6" s="76">
        <f>R6/R56*100</f>
        <v>0.89640178247215463</v>
      </c>
      <c r="T6" s="206">
        <f>SUM(T4:T5)</f>
        <v>1500</v>
      </c>
      <c r="U6" s="154">
        <f>T6/T56*100</f>
        <v>1.2938109174697854</v>
      </c>
      <c r="V6" s="75">
        <f t="shared" si="0"/>
        <v>13183.3</v>
      </c>
    </row>
    <row r="7" spans="1:23" x14ac:dyDescent="0.25">
      <c r="A7" t="s">
        <v>0</v>
      </c>
      <c r="B7" s="66">
        <v>44620.7</v>
      </c>
      <c r="C7" s="69">
        <f>B7/B56*100</f>
        <v>32.669591654814788</v>
      </c>
      <c r="D7" s="63">
        <v>7993</v>
      </c>
      <c r="E7" s="71">
        <f>D7/D56*100</f>
        <v>7.0466926035735096</v>
      </c>
      <c r="F7" s="66">
        <v>897</v>
      </c>
      <c r="G7" s="69">
        <f>F7/F56*100</f>
        <v>0.82334964520239118</v>
      </c>
      <c r="H7" s="63">
        <v>897</v>
      </c>
      <c r="I7" s="71">
        <f>H7/H56*100</f>
        <v>1.078540082373048</v>
      </c>
      <c r="J7" s="60">
        <v>0</v>
      </c>
      <c r="K7" s="69">
        <f>J7/J56*100</f>
        <v>0</v>
      </c>
      <c r="L7" s="61"/>
      <c r="M7" s="148">
        <f>L7/L56*100</f>
        <v>0</v>
      </c>
      <c r="N7" s="64">
        <v>299</v>
      </c>
      <c r="O7" s="69">
        <f>N7/N56*100</f>
        <v>0.36780914666309761</v>
      </c>
      <c r="P7" s="227">
        <v>598</v>
      </c>
      <c r="Q7" s="148">
        <f>P7/P56*100</f>
        <v>0.43071316160026496</v>
      </c>
      <c r="R7" s="144">
        <v>299</v>
      </c>
      <c r="S7" s="69">
        <f>R7/R56*100</f>
        <v>0.25237677303123751</v>
      </c>
      <c r="T7" s="177">
        <v>500</v>
      </c>
      <c r="U7" s="148">
        <f>T7/T56*100</f>
        <v>0.43127030582326176</v>
      </c>
      <c r="V7" s="23">
        <f t="shared" si="0"/>
        <v>56103.7</v>
      </c>
    </row>
    <row r="8" spans="1:23" ht="14.95" thickBot="1" x14ac:dyDescent="0.3">
      <c r="A8" t="s">
        <v>47</v>
      </c>
      <c r="B8" s="66">
        <v>65068.59</v>
      </c>
      <c r="C8" s="89">
        <f>B8/B56*100</f>
        <v>47.640764597027051</v>
      </c>
      <c r="D8" s="63">
        <v>5955</v>
      </c>
      <c r="E8" s="88">
        <f>D8/D56*100</f>
        <v>5.2499755353784874</v>
      </c>
      <c r="F8" s="66">
        <v>0</v>
      </c>
      <c r="G8" s="89">
        <f>F8/F56*100</f>
        <v>0</v>
      </c>
      <c r="H8" s="63"/>
      <c r="I8" s="88">
        <f>H8/H56*100</f>
        <v>0</v>
      </c>
      <c r="J8" s="60"/>
      <c r="K8" s="89">
        <f>J8/J56*100</f>
        <v>0</v>
      </c>
      <c r="L8" s="61"/>
      <c r="M8" s="151">
        <f>L8/L56*100</f>
        <v>0</v>
      </c>
      <c r="N8" s="64"/>
      <c r="O8" s="89">
        <f>N8/N56*100</f>
        <v>0</v>
      </c>
      <c r="P8" s="227">
        <v>250</v>
      </c>
      <c r="Q8" s="151">
        <f>P8/P56*100</f>
        <v>0.18006403076934155</v>
      </c>
      <c r="R8" s="144"/>
      <c r="S8" s="89">
        <f>R8/R56*100</f>
        <v>0</v>
      </c>
      <c r="T8" s="177"/>
      <c r="U8" s="151">
        <f>T8/T56*100</f>
        <v>0</v>
      </c>
      <c r="V8" s="23">
        <f t="shared" si="0"/>
        <v>71273.59</v>
      </c>
      <c r="W8" s="1"/>
    </row>
    <row r="9" spans="1:23" ht="14.95" thickBot="1" x14ac:dyDescent="0.3">
      <c r="A9" s="224" t="s">
        <v>66</v>
      </c>
      <c r="B9" s="171">
        <f>SUM(B7:B8)</f>
        <v>109689.29</v>
      </c>
      <c r="C9" s="89">
        <f>B9/B56*100</f>
        <v>80.310356251841839</v>
      </c>
      <c r="D9" s="210">
        <f>SUM(D7:D8)</f>
        <v>13948</v>
      </c>
      <c r="E9" s="223">
        <f>D9/D56*100</f>
        <v>12.296668138951997</v>
      </c>
      <c r="F9" s="171">
        <f>SUM(F7:F8)</f>
        <v>897</v>
      </c>
      <c r="G9" s="89">
        <f>F9/F56*100</f>
        <v>0.82334964520239118</v>
      </c>
      <c r="H9" s="210">
        <f>SUM(H7:H8)</f>
        <v>897</v>
      </c>
      <c r="I9" s="226"/>
      <c r="J9" s="165">
        <f>SUM(J7:J8)</f>
        <v>0</v>
      </c>
      <c r="K9" s="225"/>
      <c r="L9" s="208">
        <f>SUM(L7:L8)</f>
        <v>0</v>
      </c>
      <c r="M9" s="225"/>
      <c r="N9" s="207">
        <f>SUM(N7:N8)</f>
        <v>299</v>
      </c>
      <c r="O9" s="89">
        <f>N9/N56*100</f>
        <v>0.36780914666309761</v>
      </c>
      <c r="P9" s="218">
        <f>SUM(P7:P8)</f>
        <v>848</v>
      </c>
      <c r="Q9" s="151">
        <f>P9/P56*100</f>
        <v>0.61077719236960648</v>
      </c>
      <c r="R9" s="165">
        <f>SUM(R7:R8)</f>
        <v>299</v>
      </c>
      <c r="S9" s="89">
        <f>R9/R56*100</f>
        <v>0.25237677303123751</v>
      </c>
      <c r="T9" s="206">
        <f>SUM(T7:T8)</f>
        <v>500</v>
      </c>
      <c r="U9" s="151">
        <f>T9/T56*100</f>
        <v>0.43127030582326176</v>
      </c>
      <c r="V9" s="75">
        <f t="shared" si="0"/>
        <v>127377.29</v>
      </c>
      <c r="W9" s="1"/>
    </row>
    <row r="10" spans="1:23" x14ac:dyDescent="0.25">
      <c r="A10" s="2" t="s">
        <v>8</v>
      </c>
      <c r="B10" s="66"/>
      <c r="C10" s="69">
        <f>B10/B56*100</f>
        <v>0</v>
      </c>
      <c r="D10" s="216">
        <v>38430.58</v>
      </c>
      <c r="E10" s="71">
        <f>D10/D56*100</f>
        <v>33.880706097465293</v>
      </c>
      <c r="F10" s="66">
        <v>4068</v>
      </c>
      <c r="G10" s="69">
        <f>F10/F56*100</f>
        <v>3.733987019713854</v>
      </c>
      <c r="H10" s="216">
        <v>897</v>
      </c>
      <c r="I10" s="71">
        <f>H10/H56*100</f>
        <v>1.078540082373048</v>
      </c>
      <c r="J10" s="60">
        <v>0</v>
      </c>
      <c r="K10" s="69">
        <f>J10/J56*100</f>
        <v>0</v>
      </c>
      <c r="L10" s="198"/>
      <c r="M10" s="148">
        <f>L10/L56*100</f>
        <v>0</v>
      </c>
      <c r="N10" s="64">
        <v>299</v>
      </c>
      <c r="O10" s="69">
        <f>N10/N56*100</f>
        <v>0.36780914666309761</v>
      </c>
      <c r="P10" s="217">
        <v>598</v>
      </c>
      <c r="Q10" s="148">
        <f>P10/P56*100</f>
        <v>0.43071316160026496</v>
      </c>
      <c r="R10" s="144">
        <v>299</v>
      </c>
      <c r="S10" s="69">
        <f>R10/R56*100</f>
        <v>0.25237677303123751</v>
      </c>
      <c r="T10" s="221">
        <v>500</v>
      </c>
      <c r="U10" s="148">
        <f>T10/T56*100</f>
        <v>0.43127030582326176</v>
      </c>
      <c r="V10" s="23">
        <f t="shared" si="0"/>
        <v>45091.58</v>
      </c>
    </row>
    <row r="11" spans="1:23" ht="14.95" thickBot="1" x14ac:dyDescent="0.3">
      <c r="A11" s="2" t="s">
        <v>9</v>
      </c>
      <c r="B11" s="66"/>
      <c r="C11" s="89">
        <f>B11/B56*100</f>
        <v>0</v>
      </c>
      <c r="D11" s="216">
        <v>42072</v>
      </c>
      <c r="E11" s="88">
        <f>D11/D56*100</f>
        <v>37.091011036850333</v>
      </c>
      <c r="F11" s="66">
        <v>2060</v>
      </c>
      <c r="G11" s="89">
        <f>F11/F56*100</f>
        <v>1.8908587169642426</v>
      </c>
      <c r="H11" s="216">
        <v>0</v>
      </c>
      <c r="I11" s="88">
        <f>H11/H56*100</f>
        <v>0</v>
      </c>
      <c r="J11" s="60">
        <v>372</v>
      </c>
      <c r="K11" s="89">
        <f>J11/J56*100</f>
        <v>0.37334081620732701</v>
      </c>
      <c r="L11" s="198"/>
      <c r="M11" s="151">
        <f>L11/L56*100</f>
        <v>0</v>
      </c>
      <c r="N11" s="64"/>
      <c r="O11" s="89">
        <f>N11/N56*100</f>
        <v>0</v>
      </c>
      <c r="P11" s="217">
        <v>250</v>
      </c>
      <c r="Q11" s="151">
        <f>P11/P56*100</f>
        <v>0.18006403076934155</v>
      </c>
      <c r="R11" s="144">
        <v>100</v>
      </c>
      <c r="S11" s="89">
        <f>R11/R56*100</f>
        <v>8.4406947502086105E-2</v>
      </c>
      <c r="T11" s="220"/>
      <c r="U11" s="151">
        <f>T11/T56*100</f>
        <v>0</v>
      </c>
      <c r="V11" s="23">
        <f t="shared" si="0"/>
        <v>44854</v>
      </c>
      <c r="W11" s="1"/>
    </row>
    <row r="12" spans="1:23" ht="14.95" thickBot="1" x14ac:dyDescent="0.3">
      <c r="A12" s="224" t="s">
        <v>65</v>
      </c>
      <c r="B12" s="171"/>
      <c r="C12" s="89">
        <f>B12/B56*100</f>
        <v>0</v>
      </c>
      <c r="D12" s="210">
        <f>SUM(D10:D11)</f>
        <v>80502.58</v>
      </c>
      <c r="E12" s="223">
        <f>D12/D56*100</f>
        <v>70.971717134315611</v>
      </c>
      <c r="F12" s="171">
        <f>SUM(F10:F11)</f>
        <v>6128</v>
      </c>
      <c r="G12" s="89">
        <f>F12/F56*100</f>
        <v>5.6248457366780968</v>
      </c>
      <c r="H12" s="210">
        <f>SUM(H10:H11)</f>
        <v>897</v>
      </c>
      <c r="I12" s="223">
        <f>H12/H56*100</f>
        <v>1.078540082373048</v>
      </c>
      <c r="J12" s="165">
        <f>SUM(J10:J11)</f>
        <v>372</v>
      </c>
      <c r="K12" s="89">
        <f>J12/J56*100</f>
        <v>0.37334081620732701</v>
      </c>
      <c r="L12" s="208">
        <f>SUM(L10:L11)</f>
        <v>0</v>
      </c>
      <c r="M12" s="89">
        <f>L12/L56*100</f>
        <v>0</v>
      </c>
      <c r="N12" s="207">
        <f>SUM(N10:N11)</f>
        <v>299</v>
      </c>
      <c r="O12" s="89">
        <f>N12/N56*100</f>
        <v>0.36780914666309761</v>
      </c>
      <c r="P12" s="218">
        <f>SUM(P10:P11)</f>
        <v>848</v>
      </c>
      <c r="Q12" s="151">
        <f>P12/P56*100</f>
        <v>0.61077719236960648</v>
      </c>
      <c r="R12" s="165">
        <f>SUM(R10:R11)</f>
        <v>399</v>
      </c>
      <c r="S12" s="20">
        <f>SUM(S10:S11)</f>
        <v>0.33678372053332362</v>
      </c>
      <c r="T12" s="206">
        <f>SUM(T10:T11)</f>
        <v>500</v>
      </c>
      <c r="U12" s="151">
        <f>T12/T56*100</f>
        <v>0.43127030582326176</v>
      </c>
      <c r="V12" s="23">
        <f t="shared" si="0"/>
        <v>89945.58</v>
      </c>
      <c r="W12" s="1"/>
    </row>
    <row r="13" spans="1:23" x14ac:dyDescent="0.25">
      <c r="A13" s="2" t="s">
        <v>5</v>
      </c>
      <c r="B13" s="66">
        <v>0</v>
      </c>
      <c r="C13" s="69"/>
      <c r="D13" s="216">
        <v>0</v>
      </c>
      <c r="E13" s="71">
        <f>D13/D56*100</f>
        <v>0</v>
      </c>
      <c r="F13" s="66">
        <v>38636.32</v>
      </c>
      <c r="G13" s="69">
        <f>F13/F56*100</f>
        <v>35.463991487097047</v>
      </c>
      <c r="H13" s="216">
        <v>2017</v>
      </c>
      <c r="I13" s="71">
        <f>H13/H56*100</f>
        <v>2.4252122030618035</v>
      </c>
      <c r="J13" s="60">
        <v>285</v>
      </c>
      <c r="K13" s="69">
        <f>J13/J56*100</f>
        <v>0.28602723822335535</v>
      </c>
      <c r="L13" s="198"/>
      <c r="M13" s="148">
        <f>L13/L56*100</f>
        <v>0</v>
      </c>
      <c r="N13" s="64">
        <v>299</v>
      </c>
      <c r="O13" s="69">
        <f>N13/N56*100</f>
        <v>0.36780914666309761</v>
      </c>
      <c r="P13" s="217">
        <v>1196</v>
      </c>
      <c r="Q13" s="148">
        <f>P13/P56*100</f>
        <v>0.86142632320052992</v>
      </c>
      <c r="R13" s="144">
        <v>399</v>
      </c>
      <c r="S13" s="69">
        <f>R13/R56*100</f>
        <v>0.33678372053332362</v>
      </c>
      <c r="T13" s="221">
        <v>500</v>
      </c>
      <c r="U13" s="148">
        <f>T13/T56*100</f>
        <v>0.43127030582326176</v>
      </c>
      <c r="V13" s="23">
        <f t="shared" si="0"/>
        <v>43332.32</v>
      </c>
    </row>
    <row r="14" spans="1:23" ht="14.95" thickBot="1" x14ac:dyDescent="0.3">
      <c r="A14" s="2" t="s">
        <v>6</v>
      </c>
      <c r="B14" s="66">
        <v>0</v>
      </c>
      <c r="C14" s="89">
        <f>B14/B56*100</f>
        <v>0</v>
      </c>
      <c r="D14" s="216">
        <v>0</v>
      </c>
      <c r="E14" s="88">
        <f>D14/D56*100</f>
        <v>0</v>
      </c>
      <c r="F14" s="66">
        <v>60025.08</v>
      </c>
      <c r="G14" s="89">
        <f>F14/F56*100</f>
        <v>55.096575608968948</v>
      </c>
      <c r="H14" s="216">
        <v>598</v>
      </c>
      <c r="I14" s="88">
        <f>H14/H56*100</f>
        <v>0.71902672158203196</v>
      </c>
      <c r="J14" s="60">
        <v>372</v>
      </c>
      <c r="K14" s="89">
        <f>J14/J56*100</f>
        <v>0.37334081620732701</v>
      </c>
      <c r="L14" s="198">
        <v>160</v>
      </c>
      <c r="M14" s="151">
        <f>L14/L56*100</f>
        <v>0.20844173389129714</v>
      </c>
      <c r="N14" s="64">
        <v>744</v>
      </c>
      <c r="O14" s="89">
        <f>N14/N56*100</f>
        <v>0.91521740841921284</v>
      </c>
      <c r="P14" s="217">
        <v>622</v>
      </c>
      <c r="Q14" s="151">
        <f>P14/P56*100</f>
        <v>0.44799930855412173</v>
      </c>
      <c r="R14" s="144">
        <v>187.5</v>
      </c>
      <c r="S14" s="89">
        <f>R14/R56*100</f>
        <v>0.15826302656641147</v>
      </c>
      <c r="T14" s="220">
        <v>1540</v>
      </c>
      <c r="U14" s="151">
        <f>T14/T56*100</f>
        <v>1.3283125419356463</v>
      </c>
      <c r="V14" s="23">
        <f t="shared" si="0"/>
        <v>64248.58</v>
      </c>
      <c r="W14" s="1"/>
    </row>
    <row r="15" spans="1:23" ht="14.95" thickBot="1" x14ac:dyDescent="0.3">
      <c r="A15" s="222" t="s">
        <v>61</v>
      </c>
      <c r="B15" s="171">
        <f>SUM(B13:B14)</f>
        <v>0</v>
      </c>
      <c r="C15" s="76">
        <f>B15/B56*100</f>
        <v>0</v>
      </c>
      <c r="D15" s="210">
        <f>SUM(D13:D14)</f>
        <v>0</v>
      </c>
      <c r="E15" s="209">
        <f>D15/D56*100</f>
        <v>0</v>
      </c>
      <c r="F15" s="171">
        <f>SUM(F13:F14)</f>
        <v>98661.4</v>
      </c>
      <c r="G15" s="76">
        <f>F15/F56*100</f>
        <v>90.560567096065981</v>
      </c>
      <c r="H15" s="210">
        <f>SUM(H13:H14)</f>
        <v>2615</v>
      </c>
      <c r="I15" s="209">
        <f>H15/H56*100</f>
        <v>3.1442389246438358</v>
      </c>
      <c r="J15" s="165">
        <f>SUM(J13:J14)</f>
        <v>657</v>
      </c>
      <c r="K15" s="76">
        <f>J15/J56*100</f>
        <v>0.65936805443068236</v>
      </c>
      <c r="L15" s="208">
        <f>SUM(L13:L14)</f>
        <v>160</v>
      </c>
      <c r="M15" s="76">
        <f>L15/L56*100</f>
        <v>0.20844173389129714</v>
      </c>
      <c r="N15" s="207">
        <f>SUM(N13:N14)</f>
        <v>1043</v>
      </c>
      <c r="O15" s="89">
        <f>N15/N56*100</f>
        <v>1.2830265550823106</v>
      </c>
      <c r="P15" s="218">
        <f>SUM(P13:P14)</f>
        <v>1818</v>
      </c>
      <c r="Q15" s="151">
        <f>P15/P56*100</f>
        <v>1.3094256317546518</v>
      </c>
      <c r="R15" s="165">
        <f>SUM(R13:R14)</f>
        <v>586.5</v>
      </c>
      <c r="S15" s="151">
        <f>R15/R56*100</f>
        <v>0.49504674709973506</v>
      </c>
      <c r="T15" s="206">
        <f>SUM(T13:T14)</f>
        <v>2040</v>
      </c>
      <c r="U15" s="151">
        <f>T15/T56*100</f>
        <v>1.7595828477589079</v>
      </c>
      <c r="V15" s="75">
        <f t="shared" si="0"/>
        <v>107580.9</v>
      </c>
      <c r="W15" s="1"/>
    </row>
    <row r="16" spans="1:23" ht="14.95" thickBot="1" x14ac:dyDescent="0.3">
      <c r="A16" s="2" t="s">
        <v>10</v>
      </c>
      <c r="B16" s="66"/>
      <c r="C16" s="69">
        <f>B16/B56*100</f>
        <v>0</v>
      </c>
      <c r="D16" s="216"/>
      <c r="E16" s="71">
        <f>D16/D56*100</f>
        <v>0</v>
      </c>
      <c r="F16" s="66"/>
      <c r="G16" s="69">
        <f>F16/F56*100</f>
        <v>0</v>
      </c>
      <c r="H16" s="216">
        <v>32093.93</v>
      </c>
      <c r="I16" s="71">
        <f>H16/H56*100</f>
        <v>38.58928640565756</v>
      </c>
      <c r="J16" s="60">
        <v>6948</v>
      </c>
      <c r="K16" s="69">
        <f>J16/J56*100</f>
        <v>6.9730429865820103</v>
      </c>
      <c r="L16" s="198"/>
      <c r="M16" s="148">
        <f>L16/L56*100</f>
        <v>0</v>
      </c>
      <c r="N16" s="64">
        <v>299</v>
      </c>
      <c r="O16" s="89">
        <f>N16/N56*100</f>
        <v>0.36780914666309761</v>
      </c>
      <c r="P16" s="217">
        <v>1919.99</v>
      </c>
      <c r="Q16" s="151">
        <f>P16/P56*100</f>
        <v>1.3828845537473122</v>
      </c>
      <c r="R16" s="144">
        <v>399</v>
      </c>
      <c r="S16" s="89">
        <f>R16/R56*100</f>
        <v>0.33678372053332362</v>
      </c>
      <c r="T16" s="221">
        <v>516.26</v>
      </c>
      <c r="U16" s="151">
        <f>T16/T56*100</f>
        <v>0.44529521616863427</v>
      </c>
      <c r="V16" s="23">
        <f t="shared" si="0"/>
        <v>42176.18</v>
      </c>
    </row>
    <row r="17" spans="1:23" ht="14.95" thickBot="1" x14ac:dyDescent="0.3">
      <c r="A17" s="2" t="s">
        <v>11</v>
      </c>
      <c r="B17" s="66">
        <v>322</v>
      </c>
      <c r="C17" s="89">
        <f>B17/B56*100</f>
        <v>0.23575624122549316</v>
      </c>
      <c r="D17" s="216"/>
      <c r="E17" s="88">
        <f>D17/D56*100</f>
        <v>0</v>
      </c>
      <c r="F17" s="66"/>
      <c r="G17" s="89">
        <f>F17/F56*100</f>
        <v>0</v>
      </c>
      <c r="H17" s="216">
        <v>45505.5</v>
      </c>
      <c r="I17" s="88">
        <f>H17/H56*100</f>
        <v>54.715168025001937</v>
      </c>
      <c r="J17" s="60">
        <v>6619</v>
      </c>
      <c r="K17" s="89">
        <f>J17/J56*100</f>
        <v>6.6428571571943467</v>
      </c>
      <c r="L17" s="198"/>
      <c r="M17" s="151">
        <f>L17/L56*100</f>
        <v>0</v>
      </c>
      <c r="N17" s="64">
        <v>744</v>
      </c>
      <c r="O17" s="89">
        <f>N17/N56*100</f>
        <v>0.91521740841921284</v>
      </c>
      <c r="P17" s="217">
        <v>1731.6</v>
      </c>
      <c r="Q17" s="151">
        <f>P17/P56*100</f>
        <v>1.2471955027207671</v>
      </c>
      <c r="R17" s="144">
        <v>500</v>
      </c>
      <c r="S17" s="89">
        <f>R17/R56*100</f>
        <v>0.42203473751043052</v>
      </c>
      <c r="T17" s="220">
        <v>545.5</v>
      </c>
      <c r="U17" s="151">
        <f>T17/T56*100</f>
        <v>0.47051590365317858</v>
      </c>
      <c r="V17" s="23">
        <f t="shared" si="0"/>
        <v>55967.6</v>
      </c>
      <c r="W17" s="1"/>
    </row>
    <row r="18" spans="1:23" ht="14.95" thickBot="1" x14ac:dyDescent="0.3">
      <c r="A18" s="219" t="s">
        <v>62</v>
      </c>
      <c r="B18" s="171">
        <f>SUM(B16:B17)</f>
        <v>322</v>
      </c>
      <c r="C18" s="76">
        <f>B18/B56*100</f>
        <v>0.23575624122549316</v>
      </c>
      <c r="D18" s="210">
        <f>SUM(D16:D17)</f>
        <v>0</v>
      </c>
      <c r="E18" s="209">
        <f>D18/D56*100</f>
        <v>0</v>
      </c>
      <c r="F18" s="171">
        <f>SUM(F16:F17)</f>
        <v>0</v>
      </c>
      <c r="G18" s="76">
        <f>F18/F56*100</f>
        <v>0</v>
      </c>
      <c r="H18" s="210">
        <f>SUM(H16:H17)</f>
        <v>77599.429999999993</v>
      </c>
      <c r="I18" s="209">
        <f>H18/H56*100</f>
        <v>93.30445443065949</v>
      </c>
      <c r="J18" s="165">
        <f>SUM(J16:J17)</f>
        <v>13567</v>
      </c>
      <c r="K18" s="76">
        <f>J18/J56*100</f>
        <v>13.615900143776358</v>
      </c>
      <c r="L18" s="208">
        <f>SUM(L16:L17)</f>
        <v>0</v>
      </c>
      <c r="M18" s="76">
        <f>L18/L56*100</f>
        <v>0</v>
      </c>
      <c r="N18" s="207">
        <f>SUM(N16:N17)</f>
        <v>1043</v>
      </c>
      <c r="O18" s="89">
        <f>N18/N56*100</f>
        <v>1.2830265550823106</v>
      </c>
      <c r="P18" s="218">
        <f>SUM(P16:P17)</f>
        <v>3651.59</v>
      </c>
      <c r="Q18" s="151">
        <f>P18/P56*100</f>
        <v>2.6300800564680795</v>
      </c>
      <c r="R18" s="165">
        <f>SUM(R16:R17)</f>
        <v>899</v>
      </c>
      <c r="S18" s="89">
        <f>R18/R56*100</f>
        <v>0.75881845804375414</v>
      </c>
      <c r="T18" s="206">
        <f>SUM(T16:T17)</f>
        <v>1061.76</v>
      </c>
      <c r="U18" s="151">
        <f>T18/T56*100</f>
        <v>0.91581111982181274</v>
      </c>
      <c r="V18" s="75">
        <f t="shared" si="0"/>
        <v>98143.779999999984</v>
      </c>
      <c r="W18" s="1"/>
    </row>
    <row r="19" spans="1:23" ht="14.95" thickBot="1" x14ac:dyDescent="0.3">
      <c r="A19" s="2" t="s">
        <v>1</v>
      </c>
      <c r="B19" s="66">
        <v>1219</v>
      </c>
      <c r="C19" s="69">
        <f>B19/B56*100</f>
        <v>0.89250577035365264</v>
      </c>
      <c r="D19" s="216"/>
      <c r="E19" s="71">
        <f>D19/D56*100</f>
        <v>0</v>
      </c>
      <c r="F19" s="66"/>
      <c r="G19" s="69">
        <f>F19/F56*100</f>
        <v>0</v>
      </c>
      <c r="H19" s="216">
        <v>0</v>
      </c>
      <c r="I19" s="71">
        <f>H19/H56*100</f>
        <v>0</v>
      </c>
      <c r="J19" s="60">
        <v>30381</v>
      </c>
      <c r="K19" s="69">
        <f>J19/J56*100</f>
        <v>30.490503594609681</v>
      </c>
      <c r="L19" s="198">
        <v>5300</v>
      </c>
      <c r="M19" s="148">
        <f>L19/L56*100</f>
        <v>6.9046324351492174</v>
      </c>
      <c r="N19" s="64">
        <v>861.35</v>
      </c>
      <c r="O19" s="89">
        <f>N19/N56*100</f>
        <v>1.0595732725025391</v>
      </c>
      <c r="P19" s="217">
        <v>2600</v>
      </c>
      <c r="Q19" s="151">
        <f>P19/P56*100</f>
        <v>1.8726659200011522</v>
      </c>
      <c r="R19" s="144">
        <v>850.2</v>
      </c>
      <c r="S19" s="89">
        <f>R19/R56*100</f>
        <v>0.71762786766273623</v>
      </c>
      <c r="T19" s="221">
        <v>1444.3</v>
      </c>
      <c r="U19" s="151">
        <f>T19/T56*100</f>
        <v>1.2457674054010739</v>
      </c>
      <c r="V19" s="23">
        <f t="shared" si="0"/>
        <v>42655.85</v>
      </c>
    </row>
    <row r="20" spans="1:23" ht="14.95" thickBot="1" x14ac:dyDescent="0.3">
      <c r="A20" s="2" t="s">
        <v>2</v>
      </c>
      <c r="B20" s="66">
        <v>644</v>
      </c>
      <c r="C20" s="89">
        <f>B20/B56*100</f>
        <v>0.47151248245098631</v>
      </c>
      <c r="D20" s="216">
        <v>304</v>
      </c>
      <c r="E20" s="88">
        <f>D20/D56*100</f>
        <v>0.26800882665912007</v>
      </c>
      <c r="F20" s="66">
        <v>0</v>
      </c>
      <c r="G20" s="89">
        <f>F20/F56*100</f>
        <v>0</v>
      </c>
      <c r="H20" s="216">
        <v>0</v>
      </c>
      <c r="I20" s="88">
        <f>H20/H56*100</f>
        <v>0</v>
      </c>
      <c r="J20" s="60">
        <v>42598</v>
      </c>
      <c r="K20" s="89">
        <f>J20/J56*100</f>
        <v>42.751537873117513</v>
      </c>
      <c r="L20" s="198">
        <v>2900</v>
      </c>
      <c r="M20" s="151">
        <f>L20/L56*100</f>
        <v>3.7780064267797604</v>
      </c>
      <c r="N20" s="64">
        <v>1700</v>
      </c>
      <c r="O20" s="89">
        <f>N20/N56*100</f>
        <v>2.0912225730008895</v>
      </c>
      <c r="P20" s="217">
        <v>2623.11</v>
      </c>
      <c r="Q20" s="151">
        <f>P20/P56*100</f>
        <v>1.8893110390054701</v>
      </c>
      <c r="R20" s="144">
        <v>1900</v>
      </c>
      <c r="S20" s="89">
        <f>R20/R56*100</f>
        <v>1.6037320025396362</v>
      </c>
      <c r="T20" s="220">
        <v>1119.3</v>
      </c>
      <c r="U20" s="151">
        <f>T20/T56*100</f>
        <v>0.96544170661595385</v>
      </c>
      <c r="V20" s="23">
        <f t="shared" si="0"/>
        <v>53788.41</v>
      </c>
      <c r="W20" s="1"/>
    </row>
    <row r="21" spans="1:23" ht="14.95" thickBot="1" x14ac:dyDescent="0.3">
      <c r="A21" s="219" t="s">
        <v>63</v>
      </c>
      <c r="B21" s="171">
        <f>SUM(B19:B20)</f>
        <v>1863</v>
      </c>
      <c r="C21" s="76">
        <f>B21/B56*100</f>
        <v>1.364018252804639</v>
      </c>
      <c r="D21" s="210">
        <f>SUM(D19:D20)</f>
        <v>304</v>
      </c>
      <c r="E21" s="209">
        <f>D21/D56*100</f>
        <v>0.26800882665912007</v>
      </c>
      <c r="F21" s="171">
        <f>SUM(F19:F20)</f>
        <v>0</v>
      </c>
      <c r="G21" s="76">
        <f>F21/F56*100</f>
        <v>0</v>
      </c>
      <c r="H21" s="210">
        <f>SUM(H19:H20)</f>
        <v>0</v>
      </c>
      <c r="I21" s="209">
        <f>H21/H56*100</f>
        <v>0</v>
      </c>
      <c r="J21" s="165">
        <f>SUM(J19:J20)</f>
        <v>72979</v>
      </c>
      <c r="K21" s="76">
        <f>J21/J56*100</f>
        <v>73.242041467727191</v>
      </c>
      <c r="L21" s="208">
        <f>SUM(L19:L20)</f>
        <v>8200</v>
      </c>
      <c r="M21" s="76">
        <f>L21/L56*100</f>
        <v>10.682638861928979</v>
      </c>
      <c r="N21" s="207">
        <f>SUM(N19:N20)</f>
        <v>2561.35</v>
      </c>
      <c r="O21" s="89">
        <f>N21/N56*100</f>
        <v>3.1507958455034282</v>
      </c>
      <c r="P21" s="218">
        <f>SUM(P19:P20)</f>
        <v>5223.1100000000006</v>
      </c>
      <c r="Q21" s="151">
        <f>P21/P56*100</f>
        <v>3.7619769590066223</v>
      </c>
      <c r="R21" s="165">
        <f>SUM(R19:R20)</f>
        <v>2750.2</v>
      </c>
      <c r="S21" s="89">
        <f>R21/R56*100</f>
        <v>2.3213598702023721</v>
      </c>
      <c r="T21" s="206">
        <f>SUM(T19:T20)</f>
        <v>2563.6</v>
      </c>
      <c r="U21" s="151">
        <f>T21/T56*100</f>
        <v>2.2112091120170279</v>
      </c>
      <c r="V21" s="75">
        <f t="shared" si="0"/>
        <v>96444.260000000009</v>
      </c>
      <c r="W21" s="1"/>
    </row>
    <row r="22" spans="1:23" x14ac:dyDescent="0.25">
      <c r="A22" s="2" t="s">
        <v>51</v>
      </c>
      <c r="B22" s="66">
        <v>0</v>
      </c>
      <c r="C22" s="65"/>
      <c r="D22" s="216"/>
      <c r="E22" s="146"/>
      <c r="F22" s="66"/>
      <c r="G22" s="65"/>
      <c r="H22" s="216"/>
      <c r="I22" s="146"/>
      <c r="J22" s="60"/>
      <c r="K22" s="65"/>
      <c r="L22" s="198">
        <v>29609.46</v>
      </c>
      <c r="M22" s="148">
        <f>L22/L56*100</f>
        <v>38.574044887406288</v>
      </c>
      <c r="N22" s="64">
        <v>2876</v>
      </c>
      <c r="O22" s="213">
        <f>N22/N56*100</f>
        <v>3.537856541147387</v>
      </c>
      <c r="P22" s="217">
        <v>4572</v>
      </c>
      <c r="Q22" s="211">
        <f>P22/P56*100</f>
        <v>3.2930109947097179</v>
      </c>
      <c r="R22" s="144">
        <v>1400</v>
      </c>
      <c r="S22" s="213">
        <f>R22/R56*100</f>
        <v>1.1816972650292057</v>
      </c>
      <c r="T22" s="212">
        <v>1475</v>
      </c>
      <c r="U22" s="211">
        <f>T22/T56*100</f>
        <v>1.2722474021786223</v>
      </c>
      <c r="V22" s="23">
        <f t="shared" si="0"/>
        <v>39932.46</v>
      </c>
    </row>
    <row r="23" spans="1:23" ht="14.95" thickBot="1" x14ac:dyDescent="0.3">
      <c r="A23" s="2" t="s">
        <v>52</v>
      </c>
      <c r="B23" s="66">
        <v>0</v>
      </c>
      <c r="C23" s="89">
        <f>B23/B59*100</f>
        <v>0</v>
      </c>
      <c r="D23" s="216"/>
      <c r="E23" s="88">
        <f>D23/D59*100</f>
        <v>0</v>
      </c>
      <c r="F23" s="66"/>
      <c r="G23" s="89">
        <f>F23/F59*100</f>
        <v>0</v>
      </c>
      <c r="H23" s="216"/>
      <c r="I23" s="88">
        <f>H23/H59*100</f>
        <v>0</v>
      </c>
      <c r="J23" s="60"/>
      <c r="K23" s="89">
        <f>J23/J59*100</f>
        <v>0</v>
      </c>
      <c r="L23" s="198">
        <v>31945.82</v>
      </c>
      <c r="M23" s="148">
        <f>L23/L56*100</f>
        <v>41.617763196120485</v>
      </c>
      <c r="N23" s="215">
        <v>1900</v>
      </c>
      <c r="O23" s="213">
        <f>N23/N56*100</f>
        <v>2.3372487580598178</v>
      </c>
      <c r="P23" s="214">
        <v>4847</v>
      </c>
      <c r="Q23" s="211">
        <f>P23/P56*100</f>
        <v>3.4910814285559937</v>
      </c>
      <c r="R23" s="144">
        <v>2461.5100000000002</v>
      </c>
      <c r="S23" s="213">
        <f>R23/R56*100</f>
        <v>2.0776854534586002</v>
      </c>
      <c r="T23" s="212">
        <v>1150</v>
      </c>
      <c r="U23" s="211">
        <f>T23/T56*100</f>
        <v>0.99192170339350205</v>
      </c>
      <c r="V23" s="23">
        <f t="shared" si="0"/>
        <v>42304.33</v>
      </c>
    </row>
    <row r="24" spans="1:23" ht="14.95" thickBot="1" x14ac:dyDescent="0.3">
      <c r="A24" s="172" t="s">
        <v>64</v>
      </c>
      <c r="B24" s="171">
        <f>SUM(B22:B23)</f>
        <v>0</v>
      </c>
      <c r="C24" s="76">
        <f>B24/B60*100</f>
        <v>0</v>
      </c>
      <c r="D24" s="159">
        <f>SUM(D22:D23)</f>
        <v>0</v>
      </c>
      <c r="E24" s="154">
        <f>D24/D60*100</f>
        <v>0</v>
      </c>
      <c r="F24" s="171">
        <f>SUM(F22:F23)</f>
        <v>0</v>
      </c>
      <c r="G24" s="76">
        <f>F24/F60*100</f>
        <v>0</v>
      </c>
      <c r="H24" s="210">
        <f>SUM(H22:H23)</f>
        <v>0</v>
      </c>
      <c r="I24" s="209">
        <f>H24/H60*100</f>
        <v>0</v>
      </c>
      <c r="J24" s="165">
        <f>SUM(J22:J23)</f>
        <v>0</v>
      </c>
      <c r="K24" s="76">
        <f>J24/J60*100</f>
        <v>0</v>
      </c>
      <c r="L24" s="208">
        <f>SUM(L22:L23)</f>
        <v>61555.28</v>
      </c>
      <c r="M24" s="76">
        <f>L24/L56*100</f>
        <v>80.191808083526766</v>
      </c>
      <c r="N24" s="207">
        <f>SUM(N22:N23)</f>
        <v>4776</v>
      </c>
      <c r="O24" s="76">
        <f>N24/N56*100</f>
        <v>5.8751052992072044</v>
      </c>
      <c r="P24" s="167">
        <f>SUM(P22:P23)</f>
        <v>9419</v>
      </c>
      <c r="Q24" s="154">
        <f>P24/P56*100</f>
        <v>6.7840924232657116</v>
      </c>
      <c r="R24" s="165">
        <f>SUM(R22:R23)</f>
        <v>3861.51</v>
      </c>
      <c r="S24" s="76">
        <f>R24/R56*100</f>
        <v>3.2593827184878057</v>
      </c>
      <c r="T24" s="206">
        <f>SUM(T22:T23)</f>
        <v>2625</v>
      </c>
      <c r="U24" s="154">
        <f>T24/T56*100</f>
        <v>2.2641691055721243</v>
      </c>
      <c r="V24" s="75">
        <f t="shared" si="0"/>
        <v>82236.789999999994</v>
      </c>
    </row>
    <row r="25" spans="1:23" x14ac:dyDescent="0.25">
      <c r="A25" s="2" t="s">
        <v>69</v>
      </c>
      <c r="B25" s="204"/>
      <c r="C25" s="114"/>
      <c r="D25" s="205"/>
      <c r="E25" s="185"/>
      <c r="F25" s="204"/>
      <c r="G25" s="114"/>
      <c r="H25" s="203"/>
      <c r="I25" s="185"/>
      <c r="J25" s="174"/>
      <c r="K25" s="114"/>
      <c r="L25" s="198"/>
      <c r="M25" s="185">
        <f>L25/L56*100</f>
        <v>0</v>
      </c>
      <c r="N25" s="195">
        <v>25948.97</v>
      </c>
      <c r="O25" s="114">
        <f>N25/N56*100</f>
        <v>31.920630476542875</v>
      </c>
      <c r="P25" s="179">
        <v>8049.44</v>
      </c>
      <c r="Q25" s="185">
        <f>P25/P56*100</f>
        <v>5.7976584473438741</v>
      </c>
      <c r="R25" s="144">
        <v>710</v>
      </c>
      <c r="S25" s="114">
        <f>R25/R56*100</f>
        <v>0.59928932726481143</v>
      </c>
      <c r="T25" s="177">
        <v>2475</v>
      </c>
      <c r="U25" s="185">
        <f>T25/T56*100</f>
        <v>2.1347880138251458</v>
      </c>
      <c r="V25" s="23">
        <f t="shared" si="0"/>
        <v>37183.410000000003</v>
      </c>
    </row>
    <row r="26" spans="1:23" ht="14.95" thickBot="1" x14ac:dyDescent="0.3">
      <c r="A26" s="2" t="s">
        <v>70</v>
      </c>
      <c r="B26" s="201"/>
      <c r="C26" s="89"/>
      <c r="D26" s="202"/>
      <c r="E26" s="151"/>
      <c r="F26" s="201"/>
      <c r="G26" s="89"/>
      <c r="H26" s="200"/>
      <c r="I26" s="151"/>
      <c r="J26" s="199"/>
      <c r="K26" s="89"/>
      <c r="L26" s="198">
        <v>400</v>
      </c>
      <c r="M26" s="148">
        <f>L26/L56*100</f>
        <v>0.5211043347282428</v>
      </c>
      <c r="N26" s="197">
        <v>37413.18</v>
      </c>
      <c r="O26" s="89">
        <f>N26/N56*100</f>
        <v>46.023109731614952</v>
      </c>
      <c r="P26" s="179">
        <v>8625.5</v>
      </c>
      <c r="Q26" s="151">
        <f>P26/P56*100</f>
        <v>6.2125691896038218</v>
      </c>
      <c r="R26" s="144">
        <v>3230.62</v>
      </c>
      <c r="S26" s="89">
        <f>R26/R56*100</f>
        <v>2.7268677273918946</v>
      </c>
      <c r="T26" s="177">
        <v>1525</v>
      </c>
      <c r="U26" s="151">
        <f>T26/T56*100</f>
        <v>1.3153744327609485</v>
      </c>
      <c r="V26" s="23">
        <f t="shared" si="0"/>
        <v>51194.3</v>
      </c>
    </row>
    <row r="27" spans="1:23" ht="14.95" thickBot="1" x14ac:dyDescent="0.3">
      <c r="A27" s="172" t="s">
        <v>71</v>
      </c>
      <c r="B27" s="171"/>
      <c r="C27" s="76"/>
      <c r="D27" s="159"/>
      <c r="E27" s="154"/>
      <c r="F27" s="171"/>
      <c r="G27" s="76"/>
      <c r="H27" s="170"/>
      <c r="I27" s="154"/>
      <c r="J27" s="165"/>
      <c r="K27" s="76"/>
      <c r="L27" s="196">
        <f>SUM(L25:L26)</f>
        <v>400</v>
      </c>
      <c r="M27" s="154">
        <f>L27/L56*100</f>
        <v>0.5211043347282428</v>
      </c>
      <c r="N27" s="195">
        <f>SUM(N25:N26)</f>
        <v>63362.15</v>
      </c>
      <c r="O27" s="114">
        <f>N27/N56*100</f>
        <v>77.943740208157834</v>
      </c>
      <c r="P27" s="194">
        <f>SUM(P25:P26)</f>
        <v>16674.939999999999</v>
      </c>
      <c r="Q27" s="185">
        <f>P27/P56*100</f>
        <v>12.010227636947695</v>
      </c>
      <c r="R27" s="174">
        <f>SUM(R25:R26)</f>
        <v>3940.62</v>
      </c>
      <c r="S27" s="114">
        <f>R27/R56*100</f>
        <v>3.3261570546567061</v>
      </c>
      <c r="T27" s="193">
        <f>SUM(T25:T26)</f>
        <v>4000</v>
      </c>
      <c r="U27" s="185">
        <f>T27/T56*100</f>
        <v>3.4501624465860941</v>
      </c>
      <c r="V27" s="75">
        <f t="shared" si="0"/>
        <v>88377.709999999992</v>
      </c>
    </row>
    <row r="28" spans="1:23" ht="14.95" thickBot="1" x14ac:dyDescent="0.3">
      <c r="A28" s="2" t="s">
        <v>89</v>
      </c>
      <c r="B28" s="171"/>
      <c r="C28" s="76"/>
      <c r="D28" s="159"/>
      <c r="E28" s="154"/>
      <c r="F28" s="171"/>
      <c r="G28" s="76"/>
      <c r="H28" s="170"/>
      <c r="I28" s="154"/>
      <c r="J28" s="165"/>
      <c r="K28" s="78"/>
      <c r="L28" s="179"/>
      <c r="M28" s="68"/>
      <c r="N28" s="192">
        <v>820</v>
      </c>
      <c r="O28" s="186">
        <f>N28/N56*100</f>
        <v>1.0087073587416056</v>
      </c>
      <c r="P28" s="187">
        <v>40018.699999999997</v>
      </c>
      <c r="Q28" s="185">
        <f>P28/P56*100</f>
        <v>28.823713712596188</v>
      </c>
      <c r="R28" s="144">
        <v>1175</v>
      </c>
      <c r="S28" s="186">
        <f>R28/R56*100</f>
        <v>0.99178163314951195</v>
      </c>
      <c r="T28" s="150">
        <v>2475</v>
      </c>
      <c r="U28" s="185">
        <f>T28/T56*100</f>
        <v>2.1347880138251458</v>
      </c>
      <c r="V28" s="23">
        <f t="shared" si="0"/>
        <v>44488.7</v>
      </c>
    </row>
    <row r="29" spans="1:23" ht="14.95" thickBot="1" x14ac:dyDescent="0.3">
      <c r="A29" s="2" t="s">
        <v>88</v>
      </c>
      <c r="B29" s="171"/>
      <c r="C29" s="76"/>
      <c r="D29" s="159"/>
      <c r="E29" s="154"/>
      <c r="F29" s="171"/>
      <c r="G29" s="76"/>
      <c r="H29" s="170"/>
      <c r="I29" s="154"/>
      <c r="J29" s="165"/>
      <c r="K29" s="78"/>
      <c r="L29" s="179"/>
      <c r="M29" s="68"/>
      <c r="N29" s="191">
        <v>814</v>
      </c>
      <c r="O29" s="70">
        <f>N29/N56*100</f>
        <v>1.0013265731898378</v>
      </c>
      <c r="P29" s="184">
        <v>50580</v>
      </c>
      <c r="Q29" s="151">
        <f>P29/P56*100</f>
        <v>36.430554705253179</v>
      </c>
      <c r="R29" s="144">
        <v>4244.5</v>
      </c>
      <c r="S29" s="70">
        <f>R29/R56*100</f>
        <v>3.5826528867260454</v>
      </c>
      <c r="T29" s="143">
        <v>1510</v>
      </c>
      <c r="U29" s="151">
        <f>T29/T56*100</f>
        <v>1.3024363235862506</v>
      </c>
      <c r="V29" s="23">
        <f t="shared" si="0"/>
        <v>57148.5</v>
      </c>
    </row>
    <row r="30" spans="1:23" ht="14.95" thickBot="1" x14ac:dyDescent="0.3">
      <c r="A30" s="172" t="s">
        <v>128</v>
      </c>
      <c r="B30" s="171"/>
      <c r="C30" s="76"/>
      <c r="D30" s="159"/>
      <c r="E30" s="154"/>
      <c r="F30" s="171"/>
      <c r="G30" s="76"/>
      <c r="H30" s="170"/>
      <c r="I30" s="154"/>
      <c r="J30" s="165"/>
      <c r="K30" s="78"/>
      <c r="L30" s="188"/>
      <c r="M30" s="185"/>
      <c r="N30" s="190">
        <f>SUM(N28:N29)</f>
        <v>1634</v>
      </c>
      <c r="O30" s="76"/>
      <c r="P30" s="179">
        <f>SUM(P28:P29)</f>
        <v>90598.7</v>
      </c>
      <c r="Q30" s="148">
        <f>P30/P56*100</f>
        <v>65.254268417849374</v>
      </c>
      <c r="R30" s="189">
        <f>SUM(R28:R29)</f>
        <v>5419.5</v>
      </c>
      <c r="S30" s="76"/>
      <c r="T30" s="181">
        <f>SUM(T28:T29)</f>
        <v>3985</v>
      </c>
      <c r="U30" s="148">
        <f>T30/T56*100</f>
        <v>3.4372243374113967</v>
      </c>
      <c r="V30" s="75">
        <f t="shared" si="0"/>
        <v>101637.2</v>
      </c>
    </row>
    <row r="31" spans="1:23" ht="14.95" thickBot="1" x14ac:dyDescent="0.3">
      <c r="A31" s="2" t="s">
        <v>127</v>
      </c>
      <c r="B31" s="171"/>
      <c r="C31" s="76"/>
      <c r="D31" s="159"/>
      <c r="E31" s="154"/>
      <c r="F31" s="171"/>
      <c r="G31" s="76"/>
      <c r="H31" s="170"/>
      <c r="I31" s="154"/>
      <c r="J31" s="165"/>
      <c r="K31" s="78"/>
      <c r="L31" s="188"/>
      <c r="M31" s="185"/>
      <c r="N31" s="122"/>
      <c r="O31" s="186"/>
      <c r="P31" s="187">
        <v>575</v>
      </c>
      <c r="Q31" s="185">
        <f>P31/P56*100</f>
        <v>0.41414727076948554</v>
      </c>
      <c r="R31" s="144">
        <v>41429.870000000003</v>
      </c>
      <c r="S31" s="186"/>
      <c r="T31" s="150">
        <v>5295</v>
      </c>
      <c r="U31" s="185">
        <f>T31/T56*100</f>
        <v>4.5671525386683429</v>
      </c>
      <c r="V31" s="23">
        <f t="shared" si="0"/>
        <v>47299.87</v>
      </c>
    </row>
    <row r="32" spans="1:23" ht="14.95" thickBot="1" x14ac:dyDescent="0.3">
      <c r="A32" s="2" t="s">
        <v>126</v>
      </c>
      <c r="B32" s="171"/>
      <c r="C32" s="76"/>
      <c r="D32" s="159"/>
      <c r="E32" s="154"/>
      <c r="F32" s="171"/>
      <c r="G32" s="76"/>
      <c r="H32" s="170"/>
      <c r="I32" s="154"/>
      <c r="J32" s="165"/>
      <c r="K32" s="78"/>
      <c r="L32" s="169"/>
      <c r="M32" s="151"/>
      <c r="N32" s="91"/>
      <c r="O32" s="70"/>
      <c r="P32" s="184">
        <v>1770</v>
      </c>
      <c r="Q32" s="151">
        <f>P32/P56*100</f>
        <v>1.274853337846938</v>
      </c>
      <c r="R32" s="144">
        <v>47182.47</v>
      </c>
      <c r="S32" s="70"/>
      <c r="T32" s="143">
        <v>6135</v>
      </c>
      <c r="U32" s="151">
        <f>T32/T56*100</f>
        <v>5.2916866524514221</v>
      </c>
      <c r="V32" s="23">
        <f t="shared" si="0"/>
        <v>55087.47</v>
      </c>
    </row>
    <row r="33" spans="1:22" ht="14.95" thickBot="1" x14ac:dyDescent="0.3">
      <c r="A33" s="172" t="s">
        <v>125</v>
      </c>
      <c r="B33" s="171"/>
      <c r="C33" s="76"/>
      <c r="D33" s="159"/>
      <c r="E33" s="154"/>
      <c r="F33" s="171"/>
      <c r="G33" s="76"/>
      <c r="H33" s="170"/>
      <c r="I33" s="154"/>
      <c r="J33" s="165"/>
      <c r="K33" s="78"/>
      <c r="L33" s="169"/>
      <c r="M33" s="168"/>
      <c r="N33" s="80"/>
      <c r="O33" s="76"/>
      <c r="P33" s="167">
        <f>SUM(P31:P32)</f>
        <v>2345</v>
      </c>
      <c r="Q33" s="154">
        <f>P33/P56*100</f>
        <v>1.6890006086164238</v>
      </c>
      <c r="R33" s="183">
        <f>SUM(R31:R32)</f>
        <v>88612.34</v>
      </c>
      <c r="S33" s="182"/>
      <c r="T33" s="181">
        <f>SUM(T31:T32)</f>
        <v>11430</v>
      </c>
      <c r="U33" s="154">
        <f>T33/T56*100</f>
        <v>9.858839191119765</v>
      </c>
      <c r="V33" s="75">
        <f t="shared" si="0"/>
        <v>102387.34</v>
      </c>
    </row>
    <row r="34" spans="1:22" ht="14.95" thickBot="1" x14ac:dyDescent="0.3">
      <c r="A34" s="2" t="s">
        <v>124</v>
      </c>
      <c r="B34" s="171"/>
      <c r="C34" s="76"/>
      <c r="D34" s="159"/>
      <c r="E34" s="154"/>
      <c r="F34" s="171"/>
      <c r="G34" s="76"/>
      <c r="H34" s="170"/>
      <c r="I34" s="154"/>
      <c r="J34" s="165"/>
      <c r="K34" s="78"/>
      <c r="L34" s="169"/>
      <c r="M34" s="168"/>
      <c r="N34" s="64"/>
      <c r="O34" s="69"/>
      <c r="P34" s="179"/>
      <c r="Q34" s="148"/>
      <c r="R34" s="180">
        <v>350</v>
      </c>
      <c r="S34" s="69"/>
      <c r="T34" s="177">
        <v>30710.1</v>
      </c>
      <c r="U34" s="154">
        <f>T34/T56*100</f>
        <v>26.488708437725901</v>
      </c>
      <c r="V34" s="23">
        <f t="shared" si="0"/>
        <v>31060.1</v>
      </c>
    </row>
    <row r="35" spans="1:22" ht="14.95" thickBot="1" x14ac:dyDescent="0.3">
      <c r="A35" s="2" t="s">
        <v>123</v>
      </c>
      <c r="B35" s="171"/>
      <c r="C35" s="76"/>
      <c r="D35" s="159"/>
      <c r="E35" s="154"/>
      <c r="F35" s="171"/>
      <c r="G35" s="76"/>
      <c r="H35" s="170"/>
      <c r="I35" s="154"/>
      <c r="J35" s="165"/>
      <c r="K35" s="78"/>
      <c r="L35" s="169"/>
      <c r="M35" s="168"/>
      <c r="N35" s="64"/>
      <c r="O35" s="69"/>
      <c r="P35" s="179"/>
      <c r="Q35" s="148"/>
      <c r="R35" s="178"/>
      <c r="S35" s="69"/>
      <c r="T35" s="177">
        <v>38544.910000000003</v>
      </c>
      <c r="U35" s="154">
        <f>T35/T56*100</f>
        <v>33.246550247260203</v>
      </c>
      <c r="V35" s="23">
        <f t="shared" si="0"/>
        <v>38544.910000000003</v>
      </c>
    </row>
    <row r="36" spans="1:22" ht="14.95" thickBot="1" x14ac:dyDescent="0.3">
      <c r="A36" s="172" t="s">
        <v>122</v>
      </c>
      <c r="B36" s="171"/>
      <c r="C36" s="76"/>
      <c r="D36" s="159"/>
      <c r="E36" s="154"/>
      <c r="F36" s="171"/>
      <c r="G36" s="76"/>
      <c r="H36" s="170"/>
      <c r="I36" s="154"/>
      <c r="J36" s="165"/>
      <c r="K36" s="78"/>
      <c r="L36" s="169"/>
      <c r="M36" s="168"/>
      <c r="N36" s="80"/>
      <c r="O36" s="76"/>
      <c r="P36" s="167"/>
      <c r="Q36" s="154"/>
      <c r="R36" s="174">
        <f>SUM(R34:R35)</f>
        <v>350</v>
      </c>
      <c r="S36" s="176"/>
      <c r="T36" s="175">
        <f>SUM(T34:T35)</f>
        <v>69255.010000000009</v>
      </c>
      <c r="U36" s="154">
        <f>T36/T56*100</f>
        <v>59.735258684986114</v>
      </c>
      <c r="V36" s="75">
        <f t="shared" ref="V36:V67" si="1">+B36+D36+F36+H36+J36+L36+N36+P36+R36+T36</f>
        <v>69605.010000000009</v>
      </c>
    </row>
    <row r="37" spans="1:22" ht="14.95" thickBot="1" x14ac:dyDescent="0.3">
      <c r="A37" s="2" t="s">
        <v>121</v>
      </c>
      <c r="B37" s="171"/>
      <c r="C37" s="76"/>
      <c r="D37" s="159"/>
      <c r="E37" s="154"/>
      <c r="F37" s="171"/>
      <c r="G37" s="76"/>
      <c r="H37" s="170"/>
      <c r="I37" s="154"/>
      <c r="J37" s="165"/>
      <c r="K37" s="78"/>
      <c r="L37" s="169"/>
      <c r="M37" s="168"/>
      <c r="N37" s="87"/>
      <c r="O37" s="89"/>
      <c r="P37" s="167"/>
      <c r="Q37" s="166"/>
      <c r="R37" s="174"/>
      <c r="S37" s="114"/>
      <c r="T37" s="150">
        <v>1300</v>
      </c>
      <c r="U37" s="154">
        <f>T37/T56*100</f>
        <v>1.1213027951404806</v>
      </c>
      <c r="V37" s="23">
        <f t="shared" si="1"/>
        <v>1300</v>
      </c>
    </row>
    <row r="38" spans="1:22" ht="14.95" thickBot="1" x14ac:dyDescent="0.3">
      <c r="A38" s="2" t="s">
        <v>120</v>
      </c>
      <c r="B38" s="171"/>
      <c r="C38" s="76"/>
      <c r="D38" s="159"/>
      <c r="E38" s="154"/>
      <c r="F38" s="171"/>
      <c r="G38" s="76"/>
      <c r="H38" s="170"/>
      <c r="I38" s="154"/>
      <c r="J38" s="165"/>
      <c r="K38" s="78"/>
      <c r="L38" s="169"/>
      <c r="M38" s="168"/>
      <c r="N38" s="87"/>
      <c r="O38" s="89"/>
      <c r="P38" s="167"/>
      <c r="Q38" s="166"/>
      <c r="R38" s="173"/>
      <c r="S38" s="69"/>
      <c r="T38" s="147">
        <v>1705</v>
      </c>
      <c r="U38" s="154">
        <f>T38/T56*100</f>
        <v>1.4706317428573228</v>
      </c>
      <c r="V38" s="23">
        <f t="shared" si="1"/>
        <v>1705</v>
      </c>
    </row>
    <row r="39" spans="1:22" ht="14.95" thickBot="1" x14ac:dyDescent="0.3">
      <c r="A39" s="172" t="s">
        <v>119</v>
      </c>
      <c r="B39" s="171"/>
      <c r="C39" s="76"/>
      <c r="D39" s="159"/>
      <c r="E39" s="154"/>
      <c r="F39" s="171"/>
      <c r="G39" s="76"/>
      <c r="H39" s="170"/>
      <c r="I39" s="154"/>
      <c r="J39" s="165"/>
      <c r="K39" s="78"/>
      <c r="L39" s="169"/>
      <c r="M39" s="168"/>
      <c r="N39" s="87"/>
      <c r="O39" s="89"/>
      <c r="P39" s="167"/>
      <c r="Q39" s="166"/>
      <c r="R39" s="165"/>
      <c r="S39" s="76"/>
      <c r="T39" s="164">
        <f>SUM(T37:T38)</f>
        <v>3005</v>
      </c>
      <c r="U39" s="154">
        <f>T39/T56*100</f>
        <v>2.5919345379978029</v>
      </c>
      <c r="V39" s="75">
        <f t="shared" si="1"/>
        <v>3005</v>
      </c>
    </row>
    <row r="40" spans="1:22" ht="14.95" thickBot="1" x14ac:dyDescent="0.3">
      <c r="A40" s="163"/>
      <c r="B40" s="161">
        <f>+B6+B9+B12+B15+B18+B21+B24</f>
        <v>119976.18</v>
      </c>
      <c r="C40" s="162"/>
      <c r="D40" s="159">
        <f>+D6+D9+D12+D15+D18+D21+D24</f>
        <v>95696.58</v>
      </c>
      <c r="E40" s="157"/>
      <c r="F40" s="161">
        <f>+F6+F9+F12+F15+F18+F21+F24</f>
        <v>105686.39999999999</v>
      </c>
      <c r="G40" s="160"/>
      <c r="H40" s="159">
        <f>+H6+H9+H12+H15+H18+H21+H24</f>
        <v>82008.429999999993</v>
      </c>
      <c r="I40" s="157"/>
      <c r="J40" s="158">
        <f>+J6+J9+J12+J15+J18+J21+J24</f>
        <v>87575</v>
      </c>
      <c r="K40" s="26"/>
      <c r="L40" s="155">
        <f>+L6+L9+L12+L15+L18+L21+L24+L27</f>
        <v>70315.28</v>
      </c>
      <c r="M40" s="157"/>
      <c r="N40" s="156">
        <f>+N6+N9+N12+N15+N18+N21+N24+N27+N30</f>
        <v>75820.5</v>
      </c>
      <c r="O40" s="50"/>
      <c r="P40" s="155">
        <f>+P6+P9+P12+P15+P18+P21+P24+P27+P30+P33</f>
        <v>132200.75</v>
      </c>
      <c r="Q40" s="154">
        <f>P40/P56*100</f>
        <v>95.21839966292012</v>
      </c>
      <c r="R40" s="153">
        <f>+R6+R9+R12+R15+R18+R21+R24+R27+R30+R33+R36</f>
        <v>108179.67</v>
      </c>
      <c r="S40" s="151">
        <f>R40/R56*100</f>
        <v>91.311157264830001</v>
      </c>
      <c r="T40" s="152">
        <f>+T6+T9+T12+T15+T18+T21+T24+T27+T30+T33+T36+T39</f>
        <v>102465.37000000001</v>
      </c>
      <c r="U40" s="151">
        <f>T40/T56*100</f>
        <v>88.380542912387355</v>
      </c>
      <c r="V40" s="23">
        <f t="shared" si="1"/>
        <v>979924.16</v>
      </c>
    </row>
    <row r="41" spans="1:22" x14ac:dyDescent="0.25">
      <c r="A41" t="s">
        <v>3</v>
      </c>
      <c r="B41" s="66"/>
      <c r="C41" s="69">
        <f>B41/B56*100</f>
        <v>0</v>
      </c>
      <c r="D41" s="63">
        <v>0</v>
      </c>
      <c r="E41" s="71">
        <f>D41/D56*100</f>
        <v>0</v>
      </c>
      <c r="F41" s="66">
        <v>30.8</v>
      </c>
      <c r="G41" s="69">
        <f>F41/F56*100</f>
        <v>2.8271091496358584E-2</v>
      </c>
      <c r="H41" s="63">
        <v>25</v>
      </c>
      <c r="I41" s="71">
        <f>H41/H56*100</f>
        <v>3.0059645551088296E-2</v>
      </c>
      <c r="J41" s="60">
        <v>0</v>
      </c>
      <c r="K41" s="69">
        <f>J41/J56*100</f>
        <v>0</v>
      </c>
      <c r="L41" s="61"/>
      <c r="M41" s="148">
        <f>L41/L56*100</f>
        <v>0</v>
      </c>
      <c r="N41" s="64"/>
      <c r="O41" s="70">
        <f>N41/N56*100</f>
        <v>0</v>
      </c>
      <c r="P41" s="149">
        <v>50</v>
      </c>
      <c r="Q41" s="148">
        <f>P41/P56*100</f>
        <v>3.6012806153868308E-2</v>
      </c>
      <c r="R41" s="144"/>
      <c r="S41" s="70">
        <f>R41/R56*100</f>
        <v>0</v>
      </c>
      <c r="T41" s="150"/>
      <c r="U41" s="148">
        <f>T41/T56*100</f>
        <v>0</v>
      </c>
      <c r="V41" s="23">
        <f t="shared" si="1"/>
        <v>105.8</v>
      </c>
    </row>
    <row r="42" spans="1:22" x14ac:dyDescent="0.25">
      <c r="A42" t="s">
        <v>4</v>
      </c>
      <c r="B42" s="66">
        <v>1636</v>
      </c>
      <c r="C42" s="69">
        <f>B42/B56*100</f>
        <v>1.1978174243630646</v>
      </c>
      <c r="D42" s="63">
        <v>15333</v>
      </c>
      <c r="E42" s="71">
        <f>D42/D56*100</f>
        <v>13.517695194619369</v>
      </c>
      <c r="F42" s="66">
        <v>1295</v>
      </c>
      <c r="G42" s="69">
        <f>F42/F56*100</f>
        <v>1.1886708924605311</v>
      </c>
      <c r="H42" s="63">
        <v>521</v>
      </c>
      <c r="I42" s="71">
        <f>H42/H56*100</f>
        <v>0.62644301328467999</v>
      </c>
      <c r="J42" s="60">
        <v>0.63</v>
      </c>
      <c r="K42" s="69">
        <f>J42/J56*100</f>
        <v>6.3227073712531184E-4</v>
      </c>
      <c r="L42" s="61"/>
      <c r="M42" s="148">
        <f>L42/L56*100</f>
        <v>0</v>
      </c>
      <c r="N42" s="64">
        <v>2970</v>
      </c>
      <c r="O42" s="70">
        <f>N42/N56*100</f>
        <v>3.6534888481250833</v>
      </c>
      <c r="P42" s="149">
        <v>1480</v>
      </c>
      <c r="Q42" s="148">
        <f>P42/P56*100</f>
        <v>1.065979062154502</v>
      </c>
      <c r="R42" s="144">
        <v>1248</v>
      </c>
      <c r="S42" s="70">
        <f>R42/R56*100</f>
        <v>1.0533987048260347</v>
      </c>
      <c r="T42" s="147">
        <v>1695</v>
      </c>
      <c r="U42" s="148">
        <f>T42/T56*100</f>
        <v>1.4620063367408576</v>
      </c>
      <c r="V42" s="23">
        <f t="shared" si="1"/>
        <v>26178.63</v>
      </c>
    </row>
    <row r="43" spans="1:22" x14ac:dyDescent="0.25">
      <c r="A43" t="s">
        <v>7</v>
      </c>
      <c r="B43" s="66">
        <v>4237.2</v>
      </c>
      <c r="C43" s="69">
        <f>B43/B56*100</f>
        <v>3.1023178426107441</v>
      </c>
      <c r="D43" s="63">
        <v>1329</v>
      </c>
      <c r="E43" s="71">
        <f>D43/D56*100</f>
        <v>1.171657008651219</v>
      </c>
      <c r="F43" s="66">
        <v>700.9</v>
      </c>
      <c r="G43" s="69">
        <f>F43/F56*100</f>
        <v>0.64335091005836786</v>
      </c>
      <c r="H43" s="63">
        <v>313.38</v>
      </c>
      <c r="I43" s="71">
        <f>H43/H56*100</f>
        <v>0.37680366891200195</v>
      </c>
      <c r="J43" s="60">
        <v>0</v>
      </c>
      <c r="K43" s="69">
        <f>J43/J56*100</f>
        <v>0</v>
      </c>
      <c r="L43" s="61">
        <v>5627.98</v>
      </c>
      <c r="M43" s="148">
        <f>L43/L56*100</f>
        <v>7.3319119344096393</v>
      </c>
      <c r="N43" s="64">
        <v>340</v>
      </c>
      <c r="O43" s="70">
        <f>N43/N56*100</f>
        <v>0.41824451460017792</v>
      </c>
      <c r="P43" s="149">
        <v>2727.52</v>
      </c>
      <c r="Q43" s="148">
        <f>P43/P56*100</f>
        <v>1.9645129808159776</v>
      </c>
      <c r="R43" s="144">
        <v>5180</v>
      </c>
      <c r="S43" s="70">
        <f>R43/R56*100</f>
        <v>4.3722798806080609</v>
      </c>
      <c r="T43" s="147">
        <v>5737.23</v>
      </c>
      <c r="U43" s="148">
        <f>T43/T56*100</f>
        <v>4.948593873356784</v>
      </c>
      <c r="V43" s="23">
        <f t="shared" si="1"/>
        <v>26193.21</v>
      </c>
    </row>
    <row r="44" spans="1:22" x14ac:dyDescent="0.25">
      <c r="A44" t="s">
        <v>12</v>
      </c>
      <c r="B44" s="66">
        <v>160</v>
      </c>
      <c r="C44" s="69">
        <f>B44/B56*100</f>
        <v>0.11714595837291585</v>
      </c>
      <c r="D44" s="63">
        <v>140</v>
      </c>
      <c r="E44" s="71">
        <f>D44/D56*100</f>
        <v>0.12342511754038425</v>
      </c>
      <c r="F44" s="66">
        <v>75</v>
      </c>
      <c r="G44" s="69">
        <f>F44/F56*100</f>
        <v>6.8841943578795251E-2</v>
      </c>
      <c r="H44" s="63">
        <v>0</v>
      </c>
      <c r="I44" s="71">
        <f>H44/H56*100</f>
        <v>0</v>
      </c>
      <c r="J44" s="60">
        <v>80</v>
      </c>
      <c r="K44" s="69">
        <f>J44/J56*100</f>
        <v>8.0288347571468174E-2</v>
      </c>
      <c r="L44" s="61"/>
      <c r="M44" s="148">
        <f>L44/L56*100</f>
        <v>0</v>
      </c>
      <c r="N44" s="64"/>
      <c r="O44" s="70">
        <f>N44/N56*100</f>
        <v>0</v>
      </c>
      <c r="P44" s="149"/>
      <c r="Q44" s="148">
        <f>P44/P56*100</f>
        <v>0</v>
      </c>
      <c r="R44" s="144">
        <v>510</v>
      </c>
      <c r="S44" s="70">
        <f>R44/R56*100</f>
        <v>0.43047543226063922</v>
      </c>
      <c r="T44" s="147">
        <v>728.25</v>
      </c>
      <c r="U44" s="148">
        <f>T44/T56*100</f>
        <v>0.62814520043158084</v>
      </c>
      <c r="V44" s="23">
        <f t="shared" si="1"/>
        <v>1693.25</v>
      </c>
    </row>
    <row r="45" spans="1:22" x14ac:dyDescent="0.25">
      <c r="A45" t="s">
        <v>13</v>
      </c>
      <c r="B45" s="66">
        <v>378.93</v>
      </c>
      <c r="C45" s="69">
        <f>B45/B56*100</f>
        <v>0.27743823753905628</v>
      </c>
      <c r="D45" s="63">
        <v>251.68</v>
      </c>
      <c r="E45" s="71">
        <f>D45/D56*100</f>
        <v>0.22188309701831363</v>
      </c>
      <c r="F45" s="66">
        <v>247.02</v>
      </c>
      <c r="G45" s="69">
        <f>F45/F56*100</f>
        <v>0.22673782537112006</v>
      </c>
      <c r="H45" s="63">
        <v>171.16</v>
      </c>
      <c r="I45" s="71">
        <f>H45/H56*100</f>
        <v>0.20580035730097088</v>
      </c>
      <c r="J45" s="60">
        <v>140.99</v>
      </c>
      <c r="K45" s="69">
        <f>J45/J56*100</f>
        <v>0.14149817655126623</v>
      </c>
      <c r="L45" s="61">
        <v>522.6</v>
      </c>
      <c r="M45" s="148">
        <f>L45/L56*100</f>
        <v>0.68082281332244921</v>
      </c>
      <c r="N45" s="64">
        <v>592.76</v>
      </c>
      <c r="O45" s="70">
        <f>N45/N56*100</f>
        <v>0.72917240727765131</v>
      </c>
      <c r="P45" s="145">
        <v>2395.63</v>
      </c>
      <c r="Q45" s="148">
        <f>P45/P56*100</f>
        <v>1.7254671761278306</v>
      </c>
      <c r="R45" s="144">
        <v>2274.6</v>
      </c>
      <c r="S45" s="70">
        <f>R45/R56*100</f>
        <v>1.9199204278824507</v>
      </c>
      <c r="T45" s="147">
        <v>2127.73</v>
      </c>
      <c r="U45" s="148">
        <f>T45/T56*100</f>
        <v>1.8352535356186577</v>
      </c>
      <c r="V45" s="23">
        <f t="shared" si="1"/>
        <v>9103.1</v>
      </c>
    </row>
    <row r="46" spans="1:22" x14ac:dyDescent="0.25">
      <c r="A46" t="s">
        <v>14</v>
      </c>
      <c r="B46" s="66">
        <v>-175.71</v>
      </c>
      <c r="C46" s="69">
        <f>B46/B56*100</f>
        <v>-0.12864822716065655</v>
      </c>
      <c r="D46" s="63">
        <v>7.05</v>
      </c>
      <c r="E46" s="71">
        <f>D46/D56*100</f>
        <v>6.2153362761407788E-3</v>
      </c>
      <c r="F46" s="66">
        <v>330.81</v>
      </c>
      <c r="G46" s="69">
        <f>F46/F56*100</f>
        <v>0.30364804473735008</v>
      </c>
      <c r="H46" s="63">
        <v>96.88</v>
      </c>
      <c r="I46" s="71">
        <f>H46/H56*100</f>
        <v>0.11648713843957735</v>
      </c>
      <c r="J46" s="60">
        <v>93</v>
      </c>
      <c r="K46" s="69">
        <f>J46/J56*100</f>
        <v>9.3335204051831752E-2</v>
      </c>
      <c r="L46" s="61">
        <v>282.2</v>
      </c>
      <c r="M46" s="148">
        <f>L46/L56*100</f>
        <v>0.36763910815077527</v>
      </c>
      <c r="N46" s="64">
        <v>744.07</v>
      </c>
      <c r="O46" s="70">
        <f>N46/N56*100</f>
        <v>0.91530351758398343</v>
      </c>
      <c r="P46" s="145">
        <v>-988.96</v>
      </c>
      <c r="Q46" s="148">
        <f>P46/P56*100</f>
        <v>-0.71230449547859209</v>
      </c>
      <c r="R46" s="144">
        <v>351.14</v>
      </c>
      <c r="S46" s="70">
        <f>R46/R56*100</f>
        <v>0.29638655545882514</v>
      </c>
      <c r="T46" s="147">
        <v>713.72</v>
      </c>
      <c r="U46" s="148">
        <f>T46/T56*100</f>
        <v>0.61561248534435686</v>
      </c>
      <c r="V46" s="23">
        <f t="shared" si="1"/>
        <v>1454.2000000000003</v>
      </c>
    </row>
    <row r="47" spans="1:22" x14ac:dyDescent="0.25">
      <c r="A47" t="s">
        <v>15</v>
      </c>
      <c r="B47" s="66">
        <v>25</v>
      </c>
      <c r="C47" s="69">
        <f>B47/B56*100</f>
        <v>1.8304055995768103E-2</v>
      </c>
      <c r="D47" s="63">
        <v>0</v>
      </c>
      <c r="E47" s="71">
        <f>D47/D56*100</f>
        <v>0</v>
      </c>
      <c r="F47" s="66">
        <v>50</v>
      </c>
      <c r="G47" s="69">
        <f>F47/F56*100</f>
        <v>4.589462905253016E-2</v>
      </c>
      <c r="H47" s="63">
        <v>30</v>
      </c>
      <c r="I47" s="71">
        <f>H47/H56*100</f>
        <v>3.607157466130595E-2</v>
      </c>
      <c r="J47" s="60">
        <v>226.97</v>
      </c>
      <c r="K47" s="69">
        <f>J47/J56*100</f>
        <v>0.22778807810370164</v>
      </c>
      <c r="L47" s="61"/>
      <c r="M47" s="148">
        <f>L47/L56*100</f>
        <v>0</v>
      </c>
      <c r="N47" s="64">
        <v>149</v>
      </c>
      <c r="O47" s="70">
        <f>N47/N56*100</f>
        <v>0.1832895078689015</v>
      </c>
      <c r="P47" s="145">
        <v>40</v>
      </c>
      <c r="Q47" s="148">
        <f>P47/P56*100</f>
        <v>2.8810244923094648E-2</v>
      </c>
      <c r="R47" s="144"/>
      <c r="S47" s="70">
        <f>R47/R56*100</f>
        <v>0</v>
      </c>
      <c r="T47" s="147">
        <v>50</v>
      </c>
      <c r="U47" s="148">
        <f>T47/T56*100</f>
        <v>4.3127030582326177E-2</v>
      </c>
      <c r="V47" s="23">
        <f t="shared" si="1"/>
        <v>570.97</v>
      </c>
    </row>
    <row r="48" spans="1:22" x14ac:dyDescent="0.25">
      <c r="A48" t="s">
        <v>16</v>
      </c>
      <c r="B48" s="66">
        <v>9619.85</v>
      </c>
      <c r="C48" s="69">
        <f>B48/B56*100</f>
        <v>7.0432909228355918</v>
      </c>
      <c r="D48" s="63"/>
      <c r="E48" s="71">
        <f>D48/D56*100</f>
        <v>0</v>
      </c>
      <c r="F48" s="66"/>
      <c r="G48" s="69">
        <f>F48/F56*100</f>
        <v>0</v>
      </c>
      <c r="H48" s="63">
        <v>0</v>
      </c>
      <c r="I48" s="71">
        <f>H48/H56*100</f>
        <v>0</v>
      </c>
      <c r="J48" s="60">
        <v>10750</v>
      </c>
      <c r="K48" s="69">
        <f>J48/J56*100</f>
        <v>10.788746704916036</v>
      </c>
      <c r="L48" s="61"/>
      <c r="M48" s="148">
        <f>L48/L56*100</f>
        <v>0</v>
      </c>
      <c r="N48" s="64">
        <v>600</v>
      </c>
      <c r="O48" s="70">
        <f>N48/N56*100</f>
        <v>0.73807855517678456</v>
      </c>
      <c r="P48" s="149"/>
      <c r="Q48" s="148">
        <f>P48/P56*100</f>
        <v>0</v>
      </c>
      <c r="R48" s="144">
        <v>50</v>
      </c>
      <c r="S48" s="70">
        <f>R48/R56*100</f>
        <v>4.2203473751043052E-2</v>
      </c>
      <c r="T48" s="147"/>
      <c r="U48" s="148">
        <f>T48/T56*100</f>
        <v>0</v>
      </c>
      <c r="V48" s="23">
        <f t="shared" si="1"/>
        <v>21019.85</v>
      </c>
    </row>
    <row r="49" spans="1:22" x14ac:dyDescent="0.25">
      <c r="A49" t="s">
        <v>17</v>
      </c>
      <c r="B49" s="66">
        <v>724.3</v>
      </c>
      <c r="C49" s="69">
        <f>B49/B56*100</f>
        <v>0.53030511030939342</v>
      </c>
      <c r="D49" s="63">
        <v>671.79</v>
      </c>
      <c r="E49" s="71">
        <f>D49/D56*100</f>
        <v>0.59225542651753382</v>
      </c>
      <c r="F49" s="66">
        <v>529.28</v>
      </c>
      <c r="G49" s="69">
        <f>F49/F56*100</f>
        <v>0.48582218529846327</v>
      </c>
      <c r="H49" s="63">
        <v>2.13</v>
      </c>
      <c r="I49" s="71">
        <f>H49/H56*100</f>
        <v>2.5610818009527223E-3</v>
      </c>
      <c r="J49" s="60">
        <v>65.900000000000006</v>
      </c>
      <c r="K49" s="69">
        <f>J49/J56*100</f>
        <v>6.6137526311996916E-2</v>
      </c>
      <c r="L49" s="61">
        <v>12</v>
      </c>
      <c r="M49" s="148">
        <f>L49/L56*100</f>
        <v>1.5633130041847285E-2</v>
      </c>
      <c r="N49" s="64">
        <v>0.83</v>
      </c>
      <c r="O49" s="70">
        <f>N49/N56*100</f>
        <v>1.0210086679945519E-3</v>
      </c>
      <c r="P49" s="145">
        <v>2.42</v>
      </c>
      <c r="Q49" s="148">
        <f>P49/P56*100</f>
        <v>1.7430198178472261E-3</v>
      </c>
      <c r="R49" s="144"/>
      <c r="S49" s="70">
        <f>R49/R56*100</f>
        <v>0</v>
      </c>
      <c r="T49" s="147"/>
      <c r="U49" s="148">
        <f>T49/T56*100</f>
        <v>0</v>
      </c>
      <c r="V49" s="23">
        <f t="shared" si="1"/>
        <v>2008.65</v>
      </c>
    </row>
    <row r="50" spans="1:22" x14ac:dyDescent="0.25">
      <c r="A50" t="s">
        <v>96</v>
      </c>
      <c r="B50" s="66"/>
      <c r="C50" s="65"/>
      <c r="D50" s="63"/>
      <c r="E50" s="73"/>
      <c r="F50" s="66"/>
      <c r="G50" s="65"/>
      <c r="H50" s="63"/>
      <c r="I50" s="73"/>
      <c r="J50" s="60"/>
      <c r="K50" s="65"/>
      <c r="L50" s="61"/>
      <c r="M50" s="146"/>
      <c r="N50" s="64">
        <v>75</v>
      </c>
      <c r="O50" s="70">
        <f>N50/N56*100</f>
        <v>9.225981939709807E-2</v>
      </c>
      <c r="P50" s="145">
        <v>275</v>
      </c>
      <c r="Q50" s="148">
        <f>P50/P56*100</f>
        <v>0.19807043384627568</v>
      </c>
      <c r="R50" s="144">
        <v>125</v>
      </c>
      <c r="S50" s="70">
        <f>R50/R56*100</f>
        <v>0.10550868437760763</v>
      </c>
      <c r="T50" s="147">
        <v>963.27</v>
      </c>
      <c r="U50" s="148">
        <f>T50/T56*100</f>
        <v>0.83085949498074674</v>
      </c>
      <c r="V50" s="23">
        <f t="shared" si="1"/>
        <v>1438.27</v>
      </c>
    </row>
    <row r="51" spans="1:22" x14ac:dyDescent="0.25">
      <c r="A51" t="s">
        <v>118</v>
      </c>
      <c r="B51" s="66"/>
      <c r="C51" s="65"/>
      <c r="D51" s="63"/>
      <c r="E51" s="73"/>
      <c r="F51" s="66"/>
      <c r="G51" s="65"/>
      <c r="H51" s="63"/>
      <c r="I51" s="73"/>
      <c r="J51" s="60"/>
      <c r="K51" s="65"/>
      <c r="L51" s="61"/>
      <c r="M51" s="146"/>
      <c r="N51" s="64"/>
      <c r="O51" s="29"/>
      <c r="P51" s="145">
        <v>223.14</v>
      </c>
      <c r="Q51" s="71">
        <f>P51/P56*100</f>
        <v>0.16071795130348346</v>
      </c>
      <c r="R51" s="144">
        <v>693.25</v>
      </c>
      <c r="S51" s="70">
        <f>R51/R56*100</f>
        <v>0.58515116355821206</v>
      </c>
      <c r="T51" s="147">
        <v>150</v>
      </c>
      <c r="U51" s="71">
        <f>T51/T56*100</f>
        <v>0.12938109174697854</v>
      </c>
      <c r="V51" s="23">
        <f t="shared" si="1"/>
        <v>1066.3899999999999</v>
      </c>
    </row>
    <row r="52" spans="1:22" x14ac:dyDescent="0.25">
      <c r="A52" t="s">
        <v>117</v>
      </c>
      <c r="B52" s="66"/>
      <c r="C52" s="65"/>
      <c r="D52" s="63"/>
      <c r="E52" s="73"/>
      <c r="F52" s="66"/>
      <c r="G52" s="65"/>
      <c r="H52" s="63"/>
      <c r="I52" s="73"/>
      <c r="J52" s="60"/>
      <c r="K52" s="65"/>
      <c r="L52" s="61"/>
      <c r="M52" s="146"/>
      <c r="N52" s="64"/>
      <c r="O52" s="29"/>
      <c r="P52" s="145"/>
      <c r="Q52" s="71"/>
      <c r="R52" s="144">
        <f>1128-1479</f>
        <v>-351</v>
      </c>
      <c r="S52" s="70">
        <f>R52/R56*100</f>
        <v>-0.29626838573232228</v>
      </c>
      <c r="T52" s="147">
        <v>180</v>
      </c>
      <c r="U52" s="71"/>
      <c r="V52" s="23">
        <f t="shared" si="1"/>
        <v>-171</v>
      </c>
    </row>
    <row r="53" spans="1:22" x14ac:dyDescent="0.25">
      <c r="A53" t="s">
        <v>116</v>
      </c>
      <c r="B53" s="66"/>
      <c r="C53" s="65"/>
      <c r="D53" s="63"/>
      <c r="E53" s="73"/>
      <c r="F53" s="66"/>
      <c r="G53" s="65"/>
      <c r="H53" s="63">
        <f>115457.57-115936.57</f>
        <v>-479</v>
      </c>
      <c r="I53" s="73"/>
      <c r="J53" s="60"/>
      <c r="K53" s="65"/>
      <c r="L53" s="61">
        <f>119840.66-118473.66</f>
        <v>1367</v>
      </c>
      <c r="M53" s="146"/>
      <c r="N53" s="64"/>
      <c r="O53" s="29"/>
      <c r="P53" s="145">
        <v>55</v>
      </c>
      <c r="Q53" s="71">
        <f>P53/P56*100</f>
        <v>3.9614086769255138E-2</v>
      </c>
      <c r="R53" s="144">
        <v>33</v>
      </c>
      <c r="S53" s="70">
        <f>R53/R56*100</f>
        <v>2.7854292675688418E-2</v>
      </c>
      <c r="T53" s="147"/>
      <c r="U53" s="71">
        <f>T53/T56*100</f>
        <v>0</v>
      </c>
      <c r="V53" s="23">
        <f t="shared" si="1"/>
        <v>976</v>
      </c>
    </row>
    <row r="54" spans="1:22" x14ac:dyDescent="0.25">
      <c r="A54" t="s">
        <v>101</v>
      </c>
      <c r="B54" s="66"/>
      <c r="C54" s="65"/>
      <c r="D54" s="63"/>
      <c r="E54" s="73"/>
      <c r="F54" s="66"/>
      <c r="G54" s="65"/>
      <c r="H54" s="63"/>
      <c r="I54" s="73"/>
      <c r="J54" s="60"/>
      <c r="K54" s="65"/>
      <c r="L54" s="61"/>
      <c r="M54" s="146"/>
      <c r="N54" s="64"/>
      <c r="O54" s="29"/>
      <c r="P54" s="145">
        <v>179</v>
      </c>
      <c r="Q54" s="71">
        <f>P54/P56*100</f>
        <v>0.12892584603084856</v>
      </c>
      <c r="R54" s="144">
        <v>130</v>
      </c>
      <c r="S54" s="70">
        <f>R54/R56*100</f>
        <v>0.10972903175271195</v>
      </c>
      <c r="T54" s="147">
        <v>126</v>
      </c>
      <c r="U54" s="71">
        <f>T54/T56*100</f>
        <v>0.10868011706746197</v>
      </c>
      <c r="V54" s="23">
        <f t="shared" si="1"/>
        <v>435</v>
      </c>
    </row>
    <row r="55" spans="1:22" ht="14.95" thickBot="1" x14ac:dyDescent="0.3">
      <c r="A55" t="s">
        <v>115</v>
      </c>
      <c r="B55" s="66"/>
      <c r="C55" s="65"/>
      <c r="D55" s="63"/>
      <c r="E55" s="73"/>
      <c r="F55" s="66"/>
      <c r="G55" s="65"/>
      <c r="H55" s="63"/>
      <c r="I55" s="73"/>
      <c r="J55" s="60"/>
      <c r="K55" s="65"/>
      <c r="L55" s="61"/>
      <c r="M55" s="146"/>
      <c r="N55" s="64"/>
      <c r="O55" s="29"/>
      <c r="P55" s="145">
        <v>200</v>
      </c>
      <c r="Q55" s="71">
        <f>P55/P56*100</f>
        <v>0.14405122461547323</v>
      </c>
      <c r="R55" s="144">
        <v>50</v>
      </c>
      <c r="S55" s="70">
        <f>R55/R56*100</f>
        <v>4.2203473751043052E-2</v>
      </c>
      <c r="T55" s="143">
        <v>1000</v>
      </c>
      <c r="U55" s="71">
        <f>T55/T56*100</f>
        <v>0.86254061164652351</v>
      </c>
      <c r="V55" s="23">
        <f t="shared" si="1"/>
        <v>1250</v>
      </c>
    </row>
    <row r="56" spans="1:22" ht="14.95" thickBot="1" x14ac:dyDescent="0.3">
      <c r="A56" s="3" t="s">
        <v>18</v>
      </c>
      <c r="B56" s="115">
        <v>136581.75</v>
      </c>
      <c r="C56" s="126">
        <v>100</v>
      </c>
      <c r="D56" s="125">
        <v>113429.1</v>
      </c>
      <c r="E56" s="124">
        <v>100</v>
      </c>
      <c r="F56" s="115">
        <v>108945.21</v>
      </c>
      <c r="G56" s="126">
        <v>100</v>
      </c>
      <c r="H56" s="125">
        <v>83167.98</v>
      </c>
      <c r="I56" s="124">
        <v>100</v>
      </c>
      <c r="J56" s="120">
        <v>99640.86</v>
      </c>
      <c r="K56" s="126">
        <v>100</v>
      </c>
      <c r="L56" s="74">
        <f>SUM(L40:L50)</f>
        <v>76760.06</v>
      </c>
      <c r="M56" s="142">
        <v>100</v>
      </c>
      <c r="N56" s="141">
        <f>SUM(N40:N50)</f>
        <v>81292.160000000003</v>
      </c>
      <c r="O56" s="137">
        <v>100</v>
      </c>
      <c r="P56" s="140">
        <f>SUM(P40:P55)</f>
        <v>138839.50000000003</v>
      </c>
      <c r="Q56" s="139">
        <v>100</v>
      </c>
      <c r="R56" s="120">
        <f>SUM(R40:R55)</f>
        <v>118473.66</v>
      </c>
      <c r="S56" s="137">
        <v>100</v>
      </c>
      <c r="T56" s="138">
        <f>SUM(T40:T55)</f>
        <v>115936.57</v>
      </c>
      <c r="U56" s="137">
        <v>100</v>
      </c>
      <c r="V56" s="23">
        <f t="shared" si="1"/>
        <v>1073066.8500000001</v>
      </c>
    </row>
    <row r="57" spans="1:22" ht="14.95" thickBot="1" x14ac:dyDescent="0.3">
      <c r="A57" s="136"/>
      <c r="B57" s="85"/>
      <c r="C57" s="134"/>
      <c r="D57" s="84"/>
      <c r="E57" s="135"/>
      <c r="F57" s="85"/>
      <c r="G57" s="134"/>
      <c r="H57" s="84"/>
      <c r="I57" s="135"/>
      <c r="J57" s="83"/>
      <c r="K57" s="134"/>
      <c r="L57" s="132"/>
      <c r="M57" s="133"/>
      <c r="N57" s="80"/>
      <c r="O57" s="129"/>
      <c r="P57" s="132"/>
      <c r="Q57" s="131"/>
      <c r="R57" s="130"/>
      <c r="S57" s="129"/>
      <c r="T57" s="128"/>
      <c r="U57" s="127"/>
      <c r="V57" s="23">
        <f t="shared" si="1"/>
        <v>0</v>
      </c>
    </row>
    <row r="58" spans="1:22" ht="23.8" x14ac:dyDescent="0.4">
      <c r="A58" s="24" t="s">
        <v>19</v>
      </c>
      <c r="B58" s="115"/>
      <c r="C58" s="126"/>
      <c r="D58" s="125"/>
      <c r="E58" s="124"/>
      <c r="F58" s="115"/>
      <c r="G58" s="126"/>
      <c r="H58" s="125"/>
      <c r="I58" s="124"/>
      <c r="J58" s="120"/>
      <c r="K58" s="27"/>
      <c r="L58" s="74"/>
      <c r="M58" s="123"/>
      <c r="N58" s="122"/>
      <c r="O58" s="121"/>
      <c r="P58" s="74"/>
      <c r="Q58" s="17"/>
      <c r="R58" s="120"/>
      <c r="S58" s="119"/>
      <c r="T58" s="118"/>
      <c r="U58" s="117"/>
      <c r="V58" s="23">
        <f t="shared" si="1"/>
        <v>0</v>
      </c>
    </row>
    <row r="59" spans="1:22" x14ac:dyDescent="0.25">
      <c r="A59" s="4" t="s">
        <v>20</v>
      </c>
      <c r="B59" s="66">
        <v>2025</v>
      </c>
      <c r="C59" s="69">
        <f>B59/B56*100</f>
        <v>1.4826285356572162</v>
      </c>
      <c r="D59" s="63">
        <v>2070</v>
      </c>
      <c r="E59" s="71">
        <f>D59/D56*100</f>
        <v>1.8249285236328243</v>
      </c>
      <c r="F59" s="66">
        <v>2225</v>
      </c>
      <c r="G59" s="69">
        <f>F59/F56*100</f>
        <v>2.0423109928375922</v>
      </c>
      <c r="H59" s="63">
        <v>960</v>
      </c>
      <c r="I59" s="71">
        <f>H59/H56*100</f>
        <v>1.1542903891617904</v>
      </c>
      <c r="J59" s="60">
        <v>3065</v>
      </c>
      <c r="K59" s="70">
        <f>J59/J56*100</f>
        <v>3.0760473163318744</v>
      </c>
      <c r="L59" s="61">
        <v>1240</v>
      </c>
      <c r="M59" s="71">
        <f>L59/L56*100</f>
        <v>1.6154234376575527</v>
      </c>
      <c r="N59" s="91">
        <v>1200</v>
      </c>
      <c r="O59" s="70">
        <f>N59/N56*100</f>
        <v>1.4761571103535691</v>
      </c>
      <c r="P59" s="61">
        <v>720</v>
      </c>
      <c r="Q59" s="113">
        <f>P59/P56*100</f>
        <v>0.51858440861570365</v>
      </c>
      <c r="R59" s="60">
        <v>960</v>
      </c>
      <c r="S59" s="69">
        <f>R59/R56*100</f>
        <v>0.8103066960200267</v>
      </c>
      <c r="T59" s="59">
        <v>710.48</v>
      </c>
      <c r="U59" s="71">
        <f>T59/T56*100</f>
        <v>0.6128178537626221</v>
      </c>
      <c r="V59" s="23">
        <f t="shared" si="1"/>
        <v>15175.48</v>
      </c>
    </row>
    <row r="60" spans="1:22" x14ac:dyDescent="0.25">
      <c r="A60" s="4" t="s">
        <v>21</v>
      </c>
      <c r="B60" s="66">
        <v>714.76</v>
      </c>
      <c r="C60" s="69">
        <f>B60/B56*100</f>
        <v>0.52332028254140839</v>
      </c>
      <c r="D60" s="63">
        <v>525.14</v>
      </c>
      <c r="E60" s="71">
        <f>D60/D56*100</f>
        <v>0.46296761589398128</v>
      </c>
      <c r="F60" s="66">
        <v>839.15</v>
      </c>
      <c r="G60" s="69">
        <f>F60/F56*100</f>
        <v>0.77024955938861372</v>
      </c>
      <c r="H60" s="63">
        <v>406.45</v>
      </c>
      <c r="I60" s="71">
        <f>H60/H56*100</f>
        <v>0.48870971736959345</v>
      </c>
      <c r="J60" s="60">
        <v>370.01</v>
      </c>
      <c r="K60" s="70">
        <f>J60/J56*100</f>
        <v>0.37134364356148669</v>
      </c>
      <c r="L60" s="61">
        <v>454.22</v>
      </c>
      <c r="M60" s="71">
        <f>L60/L56*100</f>
        <v>0.59174002730065611</v>
      </c>
      <c r="N60" s="91">
        <v>60.48</v>
      </c>
      <c r="O60" s="70">
        <f>N60/N56*100</f>
        <v>7.4398318361819885E-2</v>
      </c>
      <c r="P60" s="61">
        <v>1259.8699999999999</v>
      </c>
      <c r="Q60" s="113">
        <f>P60/P56*100</f>
        <v>0.90742908178148129</v>
      </c>
      <c r="R60" s="60">
        <v>886.17</v>
      </c>
      <c r="S60" s="69">
        <f>R60/R56*100</f>
        <v>0.74798904667923649</v>
      </c>
      <c r="T60" s="59"/>
      <c r="U60" s="71">
        <f>T60/T56*100</f>
        <v>0</v>
      </c>
      <c r="V60" s="23">
        <f t="shared" si="1"/>
        <v>5516.25</v>
      </c>
    </row>
    <row r="61" spans="1:22" x14ac:dyDescent="0.25">
      <c r="A61" s="4" t="s">
        <v>114</v>
      </c>
      <c r="B61" s="66"/>
      <c r="C61" s="69"/>
      <c r="D61" s="63"/>
      <c r="E61" s="71"/>
      <c r="F61" s="66"/>
      <c r="G61" s="69"/>
      <c r="H61" s="63"/>
      <c r="I61" s="71"/>
      <c r="J61" s="60"/>
      <c r="K61" s="70"/>
      <c r="L61" s="61"/>
      <c r="M61" s="71"/>
      <c r="N61" s="91"/>
      <c r="O61" s="70"/>
      <c r="P61" s="61"/>
      <c r="Q61" s="113"/>
      <c r="R61" s="60">
        <v>67.72</v>
      </c>
      <c r="S61" s="69"/>
      <c r="T61" s="59">
        <v>24</v>
      </c>
      <c r="U61" s="71"/>
      <c r="V61" s="23">
        <f t="shared" si="1"/>
        <v>91.72</v>
      </c>
    </row>
    <row r="62" spans="1:22" x14ac:dyDescent="0.25">
      <c r="A62" s="4" t="s">
        <v>22</v>
      </c>
      <c r="B62" s="66">
        <v>31.95</v>
      </c>
      <c r="C62" s="69">
        <f>B62/B56*100</f>
        <v>2.3392583562591635E-2</v>
      </c>
      <c r="D62" s="63">
        <v>11.25</v>
      </c>
      <c r="E62" s="71">
        <f>D62/D56*100</f>
        <v>9.9180898023523058E-3</v>
      </c>
      <c r="F62" s="66">
        <v>51.56</v>
      </c>
      <c r="G62" s="69">
        <f>F62/F56*100</f>
        <v>4.7326541478969107E-2</v>
      </c>
      <c r="H62" s="63">
        <v>202.12</v>
      </c>
      <c r="I62" s="71">
        <f>H62/H56*100</f>
        <v>0.24302622235143867</v>
      </c>
      <c r="J62" s="60">
        <v>7</v>
      </c>
      <c r="K62" s="70">
        <f>J62/J56*100</f>
        <v>7.0252304125034649E-3</v>
      </c>
      <c r="L62" s="61">
        <v>24</v>
      </c>
      <c r="M62" s="71">
        <f>L62/L56*100</f>
        <v>3.1266260083694569E-2</v>
      </c>
      <c r="N62" s="91">
        <v>171.75</v>
      </c>
      <c r="O62" s="70">
        <f>N62/N56*100</f>
        <v>0.21127498641935458</v>
      </c>
      <c r="P62" s="61">
        <v>238.61</v>
      </c>
      <c r="Q62" s="113">
        <f>P62/P56*100</f>
        <v>0.17186031352749034</v>
      </c>
      <c r="R62" s="60">
        <v>6</v>
      </c>
      <c r="S62" s="69">
        <f>R62/R56*100</f>
        <v>5.0644168501251668E-3</v>
      </c>
      <c r="T62" s="59">
        <v>6951.84</v>
      </c>
      <c r="U62" s="71">
        <f>T62/T56*100</f>
        <v>5.9962443256687683</v>
      </c>
      <c r="V62" s="23">
        <f t="shared" si="1"/>
        <v>7696.08</v>
      </c>
    </row>
    <row r="63" spans="1:22" x14ac:dyDescent="0.25">
      <c r="A63" s="4" t="s">
        <v>113</v>
      </c>
      <c r="B63" s="66"/>
      <c r="C63" s="69"/>
      <c r="D63" s="63"/>
      <c r="E63" s="71"/>
      <c r="F63" s="66"/>
      <c r="G63" s="69"/>
      <c r="H63" s="63"/>
      <c r="I63" s="71"/>
      <c r="J63" s="60"/>
      <c r="K63" s="70"/>
      <c r="L63" s="61"/>
      <c r="M63" s="71"/>
      <c r="N63" s="91"/>
      <c r="O63" s="70"/>
      <c r="P63" s="61"/>
      <c r="Q63" s="113"/>
      <c r="R63" s="60">
        <v>3218.85</v>
      </c>
      <c r="S63" s="69"/>
      <c r="T63" s="59"/>
      <c r="U63" s="71"/>
      <c r="V63" s="23">
        <f t="shared" si="1"/>
        <v>3218.85</v>
      </c>
    </row>
    <row r="64" spans="1:22" x14ac:dyDescent="0.25">
      <c r="A64" s="4" t="s">
        <v>112</v>
      </c>
      <c r="B64" s="66"/>
      <c r="C64" s="69"/>
      <c r="D64" s="63"/>
      <c r="E64" s="71"/>
      <c r="F64" s="66"/>
      <c r="G64" s="69"/>
      <c r="H64" s="63"/>
      <c r="I64" s="71"/>
      <c r="J64" s="60"/>
      <c r="K64" s="70"/>
      <c r="L64" s="61">
        <v>1996.86</v>
      </c>
      <c r="M64" s="71">
        <f>L64/L56*100</f>
        <v>2.6014310046135973</v>
      </c>
      <c r="N64" s="91">
        <v>60.93</v>
      </c>
      <c r="O64" s="70">
        <f>N64/N56*100</f>
        <v>7.4951877278202475E-2</v>
      </c>
      <c r="P64" s="61">
        <v>477.68</v>
      </c>
      <c r="Q64" s="113">
        <f>P64/P56*100</f>
        <v>0.34405194487159629</v>
      </c>
      <c r="R64" s="60"/>
      <c r="S64" s="69">
        <f>R64/R56*100</f>
        <v>0</v>
      </c>
      <c r="T64" s="59"/>
      <c r="U64" s="71">
        <f>T64/T56*100</f>
        <v>0</v>
      </c>
      <c r="V64" s="23">
        <f t="shared" si="1"/>
        <v>2535.4699999999998</v>
      </c>
    </row>
    <row r="65" spans="1:22" x14ac:dyDescent="0.25">
      <c r="A65" s="4" t="s">
        <v>23</v>
      </c>
      <c r="B65" s="66">
        <v>13815</v>
      </c>
      <c r="C65" s="69">
        <f>B65/B56*100</f>
        <v>10.114821343261452</v>
      </c>
      <c r="D65" s="63">
        <v>15260</v>
      </c>
      <c r="E65" s="71">
        <f>D65/D56*100</f>
        <v>13.453337811901884</v>
      </c>
      <c r="F65" s="66">
        <v>8515</v>
      </c>
      <c r="G65" s="69">
        <f>F65/F56*100</f>
        <v>7.8158553276458873</v>
      </c>
      <c r="H65" s="63">
        <v>1365</v>
      </c>
      <c r="I65" s="71">
        <f>H65/H56*100</f>
        <v>1.641256647089421</v>
      </c>
      <c r="J65" s="60">
        <v>1390</v>
      </c>
      <c r="K65" s="70">
        <f>J65/J56*100</f>
        <v>1.3950100390542595</v>
      </c>
      <c r="L65" s="61">
        <v>0</v>
      </c>
      <c r="M65" s="71">
        <f>L65/L56*100</f>
        <v>0</v>
      </c>
      <c r="N65" s="91">
        <f>150+270</f>
        <v>420</v>
      </c>
      <c r="O65" s="70">
        <f>N65/N56*100</f>
        <v>0.51665498862374915</v>
      </c>
      <c r="P65" s="61">
        <v>220.4</v>
      </c>
      <c r="Q65" s="113">
        <f>P65/P56*100</f>
        <v>0.15874444952625152</v>
      </c>
      <c r="R65" s="60">
        <v>224</v>
      </c>
      <c r="S65" s="69">
        <f>R65/R56*100</f>
        <v>0.1890715624046729</v>
      </c>
      <c r="T65" s="59">
        <v>125</v>
      </c>
      <c r="U65" s="71">
        <f>T65/T56*100</f>
        <v>0.10781757645581544</v>
      </c>
      <c r="V65" s="23">
        <f t="shared" si="1"/>
        <v>41334.400000000001</v>
      </c>
    </row>
    <row r="66" spans="1:22" x14ac:dyDescent="0.25">
      <c r="A66" s="4" t="s">
        <v>111</v>
      </c>
      <c r="B66" s="66"/>
      <c r="C66" s="69"/>
      <c r="D66" s="63"/>
      <c r="E66" s="71"/>
      <c r="F66" s="66"/>
      <c r="G66" s="69"/>
      <c r="H66" s="63"/>
      <c r="I66" s="71"/>
      <c r="J66" s="60"/>
      <c r="K66" s="70"/>
      <c r="L66" s="61"/>
      <c r="M66" s="71"/>
      <c r="N66" s="91"/>
      <c r="O66" s="70"/>
      <c r="P66" s="61">
        <v>705</v>
      </c>
      <c r="Q66" s="113"/>
      <c r="R66" s="60">
        <v>489</v>
      </c>
      <c r="S66" s="69"/>
      <c r="T66" s="59">
        <v>347</v>
      </c>
      <c r="U66" s="71"/>
      <c r="V66" s="23">
        <f t="shared" si="1"/>
        <v>1541</v>
      </c>
    </row>
    <row r="67" spans="1:22" x14ac:dyDescent="0.25">
      <c r="A67" s="4" t="s">
        <v>110</v>
      </c>
      <c r="B67" s="66"/>
      <c r="C67" s="69"/>
      <c r="D67" s="63"/>
      <c r="E67" s="71"/>
      <c r="F67" s="66"/>
      <c r="G67" s="69"/>
      <c r="H67" s="63"/>
      <c r="I67" s="71"/>
      <c r="J67" s="60"/>
      <c r="K67" s="70"/>
      <c r="L67" s="61"/>
      <c r="M67" s="71"/>
      <c r="N67" s="91"/>
      <c r="O67" s="70"/>
      <c r="P67" s="61">
        <v>84.46</v>
      </c>
      <c r="Q67" s="113"/>
      <c r="R67" s="60"/>
      <c r="S67" s="69"/>
      <c r="T67" s="59"/>
      <c r="U67" s="71"/>
      <c r="V67" s="23">
        <f t="shared" si="1"/>
        <v>84.46</v>
      </c>
    </row>
    <row r="68" spans="1:22" x14ac:dyDescent="0.25">
      <c r="A68" s="4" t="s">
        <v>24</v>
      </c>
      <c r="B68" s="66">
        <v>0</v>
      </c>
      <c r="C68" s="69">
        <f>B68/B56*100</f>
        <v>0</v>
      </c>
      <c r="D68" s="63">
        <v>4829.6899999999996</v>
      </c>
      <c r="E68" s="71">
        <f>D68/D56*100</f>
        <v>4.2578932566687024</v>
      </c>
      <c r="F68" s="66">
        <v>2432.3200000000002</v>
      </c>
      <c r="G68" s="69">
        <f>F68/F56*100</f>
        <v>2.2326084827410035</v>
      </c>
      <c r="H68" s="63">
        <v>3521</v>
      </c>
      <c r="I68" s="71">
        <f>H68/H56*100</f>
        <v>4.2336004794152755</v>
      </c>
      <c r="J68" s="60">
        <v>4554.8900000000003</v>
      </c>
      <c r="K68" s="70">
        <f>J68/J56*100</f>
        <v>4.5713073933725585</v>
      </c>
      <c r="L68" s="61">
        <v>2277.31</v>
      </c>
      <c r="M68" s="71">
        <f>L68/L56*100</f>
        <v>2.9667902812999367</v>
      </c>
      <c r="N68" s="91">
        <v>11134.84</v>
      </c>
      <c r="O68" s="70">
        <f>N68/N56*100</f>
        <v>13.697311032207779</v>
      </c>
      <c r="P68" s="61">
        <v>448.74</v>
      </c>
      <c r="Q68" s="113">
        <f>P68/P56*100</f>
        <v>0.32320773266973729</v>
      </c>
      <c r="R68" s="60">
        <v>9576.26</v>
      </c>
      <c r="S68" s="69">
        <f>R68/R56*100</f>
        <v>8.0830287508632725</v>
      </c>
      <c r="T68" s="59">
        <v>4928</v>
      </c>
      <c r="U68" s="71">
        <f>T68/T56*100</f>
        <v>4.2506001341940678</v>
      </c>
      <c r="V68" s="23">
        <f t="shared" ref="V68:V99" si="2">+B68+D68+F68+H68+J68+L68+N68+P68+R68+T68</f>
        <v>43703.05</v>
      </c>
    </row>
    <row r="69" spans="1:22" x14ac:dyDescent="0.25">
      <c r="A69" s="4" t="s">
        <v>49</v>
      </c>
      <c r="B69" s="66">
        <v>4000</v>
      </c>
      <c r="C69" s="69">
        <f>B69/B56*100</f>
        <v>2.9286489593228966</v>
      </c>
      <c r="D69" s="63"/>
      <c r="E69" s="71">
        <f>D69/D56*100</f>
        <v>0</v>
      </c>
      <c r="F69" s="66">
        <v>2000</v>
      </c>
      <c r="G69" s="69">
        <f>F69/F56*100</f>
        <v>1.8357851621012067</v>
      </c>
      <c r="H69" s="63">
        <v>0</v>
      </c>
      <c r="I69" s="71">
        <f>H69/H56*100</f>
        <v>0</v>
      </c>
      <c r="J69" s="60"/>
      <c r="K69" s="70">
        <f>J69/J56*100</f>
        <v>0</v>
      </c>
      <c r="L69" s="61"/>
      <c r="M69" s="71">
        <f>L69/L56*100</f>
        <v>0</v>
      </c>
      <c r="N69" s="91">
        <v>0</v>
      </c>
      <c r="O69" s="70">
        <f>N69/N56*100</f>
        <v>0</v>
      </c>
      <c r="P69" s="61"/>
      <c r="Q69" s="113">
        <f>P69/P56*100</f>
        <v>0</v>
      </c>
      <c r="R69" s="60"/>
      <c r="S69" s="69">
        <f>R69/R56*100</f>
        <v>0</v>
      </c>
      <c r="T69" s="59"/>
      <c r="U69" s="71">
        <f>T69/T56*100</f>
        <v>0</v>
      </c>
      <c r="V69" s="23">
        <f t="shared" si="2"/>
        <v>6000</v>
      </c>
    </row>
    <row r="70" spans="1:22" x14ac:dyDescent="0.25">
      <c r="A70" s="4" t="s">
        <v>109</v>
      </c>
      <c r="B70" s="66"/>
      <c r="C70" s="69"/>
      <c r="D70" s="63"/>
      <c r="E70" s="71"/>
      <c r="F70" s="66"/>
      <c r="G70" s="69"/>
      <c r="H70" s="63"/>
      <c r="I70" s="71"/>
      <c r="J70" s="60"/>
      <c r="K70" s="70"/>
      <c r="L70" s="61"/>
      <c r="M70" s="71"/>
      <c r="N70" s="91"/>
      <c r="O70" s="70"/>
      <c r="P70" s="61">
        <v>2311.25</v>
      </c>
      <c r="Q70" s="113"/>
      <c r="R70" s="60">
        <v>2</v>
      </c>
      <c r="S70" s="69"/>
      <c r="T70" s="59"/>
      <c r="U70" s="71"/>
      <c r="V70" s="23">
        <f t="shared" si="2"/>
        <v>2313.25</v>
      </c>
    </row>
    <row r="71" spans="1:22" x14ac:dyDescent="0.25">
      <c r="A71" s="4" t="s">
        <v>25</v>
      </c>
      <c r="B71" s="66">
        <v>8845</v>
      </c>
      <c r="C71" s="69">
        <f>B71/B56*100</f>
        <v>6.4759750113027552</v>
      </c>
      <c r="D71" s="63">
        <v>6375</v>
      </c>
      <c r="E71" s="71">
        <f>D71/D56*100</f>
        <v>5.6202508879996405</v>
      </c>
      <c r="F71" s="66">
        <v>4015</v>
      </c>
      <c r="G71" s="69">
        <f>F71/F56*100</f>
        <v>3.6853387129181723</v>
      </c>
      <c r="H71" s="63">
        <v>5030</v>
      </c>
      <c r="I71" s="71">
        <f>H71/H56*100</f>
        <v>6.0480006848789643</v>
      </c>
      <c r="J71" s="60">
        <v>10359.41</v>
      </c>
      <c r="K71" s="70">
        <f>J71/J56*100</f>
        <v>10.396748883941788</v>
      </c>
      <c r="L71" s="61">
        <v>5300</v>
      </c>
      <c r="M71" s="71">
        <f>L71/L56*100</f>
        <v>6.9046324351492174</v>
      </c>
      <c r="N71" s="91">
        <v>3260</v>
      </c>
      <c r="O71" s="70">
        <f>N71/N56*100</f>
        <v>4.0102268164605288</v>
      </c>
      <c r="P71" s="61">
        <v>5285</v>
      </c>
      <c r="Q71" s="113">
        <f>P71/P56*100</f>
        <v>3.80655361046388</v>
      </c>
      <c r="R71" s="60">
        <v>7115</v>
      </c>
      <c r="S71" s="69">
        <f>R71/R56*100</f>
        <v>6.0055543147734269</v>
      </c>
      <c r="T71" s="59">
        <v>8700</v>
      </c>
      <c r="U71" s="71">
        <f>T71/T56*100</f>
        <v>7.504103321324755</v>
      </c>
      <c r="V71" s="23">
        <f t="shared" si="2"/>
        <v>64284.41</v>
      </c>
    </row>
    <row r="72" spans="1:22" x14ac:dyDescent="0.25">
      <c r="A72" s="4" t="s">
        <v>26</v>
      </c>
      <c r="B72" s="66">
        <v>0</v>
      </c>
      <c r="C72" s="69">
        <f>B72/B56*100</f>
        <v>0</v>
      </c>
      <c r="D72" s="63">
        <v>64.86</v>
      </c>
      <c r="E72" s="71">
        <f>D72/D56*100</f>
        <v>5.7181093740495161E-2</v>
      </c>
      <c r="F72" s="66">
        <v>100.41</v>
      </c>
      <c r="G72" s="69">
        <f>F72/F56*100</f>
        <v>9.216559406329107E-2</v>
      </c>
      <c r="H72" s="63">
        <v>0</v>
      </c>
      <c r="I72" s="71">
        <f>H72/H56*100</f>
        <v>0</v>
      </c>
      <c r="J72" s="60">
        <v>45.53</v>
      </c>
      <c r="K72" s="70">
        <f>J72/J56*100</f>
        <v>4.5694105811611825E-2</v>
      </c>
      <c r="L72" s="61">
        <v>164.43</v>
      </c>
      <c r="M72" s="71">
        <f>L72/L56*100</f>
        <v>0.21421296439841242</v>
      </c>
      <c r="N72" s="91">
        <v>281.05</v>
      </c>
      <c r="O72" s="70">
        <f>N72/N56*100</f>
        <v>0.34572829655405884</v>
      </c>
      <c r="P72" s="61">
        <v>187.43</v>
      </c>
      <c r="Q72" s="113">
        <f>P72/P56*100</f>
        <v>0.13499760514839076</v>
      </c>
      <c r="R72" s="60"/>
      <c r="S72" s="69">
        <f>R72/R56*100</f>
        <v>0</v>
      </c>
      <c r="T72" s="59"/>
      <c r="U72" s="71">
        <f>T72/T56*100</f>
        <v>0</v>
      </c>
      <c r="V72" s="23">
        <f t="shared" si="2"/>
        <v>843.71</v>
      </c>
    </row>
    <row r="73" spans="1:22" x14ac:dyDescent="0.25">
      <c r="A73" s="4" t="s">
        <v>108</v>
      </c>
      <c r="B73" s="66"/>
      <c r="C73" s="69"/>
      <c r="D73" s="63"/>
      <c r="E73" s="71"/>
      <c r="F73" s="66"/>
      <c r="G73" s="69"/>
      <c r="H73" s="63"/>
      <c r="I73" s="71"/>
      <c r="J73" s="60"/>
      <c r="K73" s="70"/>
      <c r="L73" s="61"/>
      <c r="M73" s="71"/>
      <c r="N73" s="91"/>
      <c r="O73" s="70"/>
      <c r="P73" s="61">
        <v>253.77</v>
      </c>
      <c r="Q73" s="113"/>
      <c r="R73" s="60"/>
      <c r="S73" s="69"/>
      <c r="T73" s="59"/>
      <c r="U73" s="71"/>
      <c r="V73" s="23">
        <f t="shared" si="2"/>
        <v>253.77</v>
      </c>
    </row>
    <row r="74" spans="1:22" x14ac:dyDescent="0.25">
      <c r="A74" s="4" t="s">
        <v>107</v>
      </c>
      <c r="B74" s="66">
        <v>250</v>
      </c>
      <c r="C74" s="69">
        <f>B74/B56*100</f>
        <v>0.18304055995768104</v>
      </c>
      <c r="D74" s="63"/>
      <c r="E74" s="71">
        <f>D74/D56*100</f>
        <v>0</v>
      </c>
      <c r="F74" s="66"/>
      <c r="G74" s="69">
        <f>F74/F56*100</f>
        <v>0</v>
      </c>
      <c r="H74" s="63">
        <v>100</v>
      </c>
      <c r="I74" s="71">
        <f>H74/H56*100</f>
        <v>0.12023858220435318</v>
      </c>
      <c r="J74" s="60">
        <v>0</v>
      </c>
      <c r="K74" s="70">
        <f>J74/J56*100</f>
        <v>0</v>
      </c>
      <c r="L74" s="61"/>
      <c r="M74" s="71">
        <f>L74/L56*100</f>
        <v>0</v>
      </c>
      <c r="N74" s="91">
        <v>0</v>
      </c>
      <c r="O74" s="70">
        <f>N74/N56*100</f>
        <v>0</v>
      </c>
      <c r="P74" s="61"/>
      <c r="Q74" s="113">
        <f>P74/P56*100</f>
        <v>0</v>
      </c>
      <c r="R74" s="60">
        <v>30</v>
      </c>
      <c r="S74" s="69">
        <f>R74/R56*100</f>
        <v>2.5322084250625834E-2</v>
      </c>
      <c r="T74" s="59">
        <v>83.45</v>
      </c>
      <c r="U74" s="71">
        <f>T74/T56*100</f>
        <v>7.1979014041902392E-2</v>
      </c>
      <c r="V74" s="23">
        <f t="shared" si="2"/>
        <v>463.45</v>
      </c>
    </row>
    <row r="75" spans="1:22" x14ac:dyDescent="0.25">
      <c r="A75" s="4" t="s">
        <v>28</v>
      </c>
      <c r="B75" s="66"/>
      <c r="C75" s="69">
        <f>B75/B56*100</f>
        <v>0</v>
      </c>
      <c r="D75" s="63"/>
      <c r="E75" s="71">
        <f>D75/D56*100</f>
        <v>0</v>
      </c>
      <c r="F75" s="66"/>
      <c r="G75" s="69">
        <f>F75/F56*100</f>
        <v>0</v>
      </c>
      <c r="H75" s="63">
        <v>220</v>
      </c>
      <c r="I75" s="71">
        <f>H75/H56*100</f>
        <v>0.26452488084957698</v>
      </c>
      <c r="J75" s="60">
        <v>0</v>
      </c>
      <c r="K75" s="70">
        <f>J75/J56*100</f>
        <v>0</v>
      </c>
      <c r="L75" s="61"/>
      <c r="M75" s="71">
        <f>L75/L56*100</f>
        <v>0</v>
      </c>
      <c r="N75" s="91"/>
      <c r="O75" s="70">
        <f>N75/N56*100</f>
        <v>0</v>
      </c>
      <c r="P75" s="61"/>
      <c r="Q75" s="113">
        <f>P75/P56*100</f>
        <v>0</v>
      </c>
      <c r="R75" s="60"/>
      <c r="S75" s="69">
        <f>R75/R56*100</f>
        <v>0</v>
      </c>
      <c r="T75" s="59"/>
      <c r="U75" s="71">
        <f>T75/T56*100</f>
        <v>0</v>
      </c>
      <c r="V75" s="23">
        <f t="shared" si="2"/>
        <v>220</v>
      </c>
    </row>
    <row r="76" spans="1:22" x14ac:dyDescent="0.25">
      <c r="A76" s="4" t="s">
        <v>29</v>
      </c>
      <c r="B76" s="66">
        <v>4878.83</v>
      </c>
      <c r="C76" s="69">
        <f>B76/B56*100</f>
        <v>3.5720951005533319</v>
      </c>
      <c r="D76" s="63">
        <v>8254.48</v>
      </c>
      <c r="E76" s="71">
        <f>D76/D56*100</f>
        <v>7.2772154588196498</v>
      </c>
      <c r="F76" s="66">
        <v>3092.66</v>
      </c>
      <c r="G76" s="69">
        <f>F76/F56*100</f>
        <v>2.8387296697119586</v>
      </c>
      <c r="H76" s="63">
        <v>1197.5</v>
      </c>
      <c r="I76" s="71">
        <f>H76/H56*100</f>
        <v>1.4398570218971292</v>
      </c>
      <c r="J76" s="60">
        <v>1377.05</v>
      </c>
      <c r="K76" s="70">
        <f>J76/J56*100</f>
        <v>1.382013362791128</v>
      </c>
      <c r="L76" s="61">
        <v>790</v>
      </c>
      <c r="M76" s="71">
        <f>L76/L56*100</f>
        <v>1.0291810610882797</v>
      </c>
      <c r="N76" s="91">
        <v>781.32</v>
      </c>
      <c r="O76" s="70">
        <f>N76/N56*100</f>
        <v>0.961125894551209</v>
      </c>
      <c r="P76" s="61">
        <v>8437.73</v>
      </c>
      <c r="Q76" s="113">
        <f>P76/P56*100</f>
        <v>6.077326697373584</v>
      </c>
      <c r="R76" s="60">
        <v>27802</v>
      </c>
      <c r="S76" s="69">
        <f>R76/R56*100</f>
        <v>23.466819544529983</v>
      </c>
      <c r="T76" s="59">
        <v>38538.54</v>
      </c>
      <c r="U76" s="71">
        <f>T76/T56*100</f>
        <v>33.241055863564014</v>
      </c>
      <c r="V76" s="23">
        <f t="shared" si="2"/>
        <v>95150.11</v>
      </c>
    </row>
    <row r="77" spans="1:22" x14ac:dyDescent="0.25">
      <c r="A77" s="4" t="s">
        <v>30</v>
      </c>
      <c r="B77" s="66">
        <v>5814.15</v>
      </c>
      <c r="C77" s="69">
        <f>B77/B56*100</f>
        <v>4.256901086711804</v>
      </c>
      <c r="D77" s="63">
        <v>5742.09</v>
      </c>
      <c r="E77" s="71">
        <f>D77/D56*100</f>
        <v>5.0622723798390359</v>
      </c>
      <c r="F77" s="66">
        <v>3162.95</v>
      </c>
      <c r="G77" s="69">
        <f>F77/F56*100</f>
        <v>2.9032483392340054</v>
      </c>
      <c r="H77" s="63">
        <v>2908.1</v>
      </c>
      <c r="I77" s="71">
        <f>H77/H56*100</f>
        <v>3.4966582090847944</v>
      </c>
      <c r="J77" s="60">
        <v>17135.04</v>
      </c>
      <c r="K77" s="70">
        <f>J77/J56*100</f>
        <v>17.196800589637625</v>
      </c>
      <c r="L77" s="61">
        <v>6988.6</v>
      </c>
      <c r="M77" s="71">
        <f>L77/L56*100</f>
        <v>9.1044743842044937</v>
      </c>
      <c r="N77" s="91">
        <v>4522.63</v>
      </c>
      <c r="O77" s="70">
        <f>N77/N56*100</f>
        <v>5.5634270266653019</v>
      </c>
      <c r="P77" s="61">
        <v>68505.17</v>
      </c>
      <c r="Q77" s="113">
        <f>P77/P56*100</f>
        <v>49.341268154955891</v>
      </c>
      <c r="R77" s="60">
        <v>4294.49</v>
      </c>
      <c r="S77" s="69">
        <f>R77/R56*100</f>
        <v>3.6248479197823378</v>
      </c>
      <c r="T77" s="59">
        <v>4538.88</v>
      </c>
      <c r="U77" s="71">
        <f>T77/T56*100</f>
        <v>3.9149683313901731</v>
      </c>
      <c r="V77" s="23">
        <f t="shared" si="2"/>
        <v>123612.1</v>
      </c>
    </row>
    <row r="78" spans="1:22" x14ac:dyDescent="0.25">
      <c r="A78" s="4" t="s">
        <v>31</v>
      </c>
      <c r="B78" s="66">
        <v>242.74</v>
      </c>
      <c r="C78" s="69">
        <f>B78/B56*100</f>
        <v>0.17772506209650996</v>
      </c>
      <c r="D78" s="63">
        <v>425</v>
      </c>
      <c r="E78" s="71">
        <f>D78/D56*100</f>
        <v>0.37468339253330935</v>
      </c>
      <c r="F78" s="66">
        <v>0</v>
      </c>
      <c r="G78" s="69">
        <f>F78/F56*100</f>
        <v>0</v>
      </c>
      <c r="H78" s="63">
        <v>118.76</v>
      </c>
      <c r="I78" s="71">
        <f>H78/H56*100</f>
        <v>0.14279534022588983</v>
      </c>
      <c r="J78" s="60">
        <v>160.85</v>
      </c>
      <c r="K78" s="70">
        <f>J78/J56*100</f>
        <v>0.1614297588358832</v>
      </c>
      <c r="L78" s="61">
        <v>0</v>
      </c>
      <c r="M78" s="71">
        <f>L78/L56*100</f>
        <v>0</v>
      </c>
      <c r="N78" s="91">
        <v>1912.09</v>
      </c>
      <c r="O78" s="70">
        <f>N78/N56*100</f>
        <v>2.35212104094663</v>
      </c>
      <c r="P78" s="61"/>
      <c r="Q78" s="113">
        <f>P78/P56*100</f>
        <v>0</v>
      </c>
      <c r="R78" s="60">
        <v>748.3</v>
      </c>
      <c r="S78" s="69">
        <f>R78/R56*100</f>
        <v>0.63161718815811041</v>
      </c>
      <c r="T78" s="59">
        <v>293.89999999999998</v>
      </c>
      <c r="U78" s="71">
        <f>T78/T56*100</f>
        <v>0.25350068576291324</v>
      </c>
      <c r="V78" s="23">
        <f t="shared" si="2"/>
        <v>3901.64</v>
      </c>
    </row>
    <row r="79" spans="1:22" ht="14.95" thickBot="1" x14ac:dyDescent="0.3">
      <c r="A79" s="4" t="s">
        <v>32</v>
      </c>
      <c r="B79" s="66">
        <v>1505.18</v>
      </c>
      <c r="C79" s="69">
        <f>B79/B56*100</f>
        <v>1.1020359601484093</v>
      </c>
      <c r="D79" s="63">
        <v>1869.27</v>
      </c>
      <c r="E79" s="71">
        <f>D79/D56*100</f>
        <v>1.647963353319386</v>
      </c>
      <c r="F79" s="66">
        <v>1123.4100000000001</v>
      </c>
      <c r="G79" s="69">
        <f>F79/F56*100</f>
        <v>1.0311697044780583</v>
      </c>
      <c r="H79" s="63">
        <v>1145.03</v>
      </c>
      <c r="I79" s="113">
        <f>H79/H56*100</f>
        <v>1.376767837814505</v>
      </c>
      <c r="J79" s="116">
        <v>1101.72</v>
      </c>
      <c r="K79" s="70">
        <f>J79/J56*100</f>
        <v>1.1056909785804738</v>
      </c>
      <c r="L79" s="61">
        <v>229.76</v>
      </c>
      <c r="M79" s="71">
        <f>L79/L56*100</f>
        <v>0.29932232986790264</v>
      </c>
      <c r="N79" s="91">
        <v>178.09</v>
      </c>
      <c r="O79" s="70">
        <f>N79/N56*100</f>
        <v>0.21907401648572261</v>
      </c>
      <c r="P79" s="61">
        <v>865.18</v>
      </c>
      <c r="Q79" s="113">
        <f>P79/P56*100</f>
        <v>0.62315119256407558</v>
      </c>
      <c r="R79" s="60">
        <v>1239.69</v>
      </c>
      <c r="S79" s="69">
        <f>R79/R56*100</f>
        <v>1.0463844874886115</v>
      </c>
      <c r="T79" s="59">
        <v>783.09</v>
      </c>
      <c r="U79" s="71">
        <f>T79/T56*100</f>
        <v>0.67544692757427616</v>
      </c>
      <c r="V79" s="23">
        <f t="shared" si="2"/>
        <v>10040.42</v>
      </c>
    </row>
    <row r="80" spans="1:22" x14ac:dyDescent="0.25">
      <c r="A80" s="4" t="s">
        <v>33</v>
      </c>
      <c r="B80" s="115">
        <v>731.32</v>
      </c>
      <c r="C80" s="114">
        <f>B80/B56*100</f>
        <v>0.53544488923300515</v>
      </c>
      <c r="D80" s="63">
        <v>656.33</v>
      </c>
      <c r="E80" s="71">
        <f>D80/D56*100</f>
        <v>0.57862576710914571</v>
      </c>
      <c r="F80" s="115">
        <v>331.14</v>
      </c>
      <c r="G80" s="114">
        <f>F80/F56*100</f>
        <v>0.30395094928909677</v>
      </c>
      <c r="H80" s="63">
        <v>1012.59</v>
      </c>
      <c r="I80" s="71">
        <f>H80/H56*100</f>
        <v>1.2175238595430597</v>
      </c>
      <c r="J80" s="60">
        <v>738.18</v>
      </c>
      <c r="K80" s="70">
        <f>J80/J56*100</f>
        <v>0.74084065512882968</v>
      </c>
      <c r="L80" s="61">
        <v>400.12</v>
      </c>
      <c r="M80" s="71">
        <f>L80/L56*100</f>
        <v>0.52126066602866128</v>
      </c>
      <c r="N80" s="91">
        <v>700.21</v>
      </c>
      <c r="O80" s="70">
        <f>N80/N56*100</f>
        <v>0.86134997520056056</v>
      </c>
      <c r="P80" s="61">
        <v>1597.56</v>
      </c>
      <c r="Q80" s="113">
        <f>P80/P56*100</f>
        <v>1.1506523719834771</v>
      </c>
      <c r="R80" s="60">
        <v>366.15</v>
      </c>
      <c r="S80" s="69">
        <f>R80/R56*100</f>
        <v>0.30905603827888828</v>
      </c>
      <c r="T80" s="59">
        <v>599.46</v>
      </c>
      <c r="U80" s="71">
        <f>T80/T56*100</f>
        <v>0.51705859505762508</v>
      </c>
      <c r="V80" s="23">
        <f t="shared" si="2"/>
        <v>7133.0599999999986</v>
      </c>
    </row>
    <row r="81" spans="1:148" x14ac:dyDescent="0.25">
      <c r="A81" s="4" t="s">
        <v>106</v>
      </c>
      <c r="B81" s="66"/>
      <c r="C81" s="69"/>
      <c r="D81" s="63"/>
      <c r="E81" s="71"/>
      <c r="F81" s="66"/>
      <c r="G81" s="69"/>
      <c r="H81" s="63"/>
      <c r="I81" s="71"/>
      <c r="J81" s="60"/>
      <c r="K81" s="70"/>
      <c r="L81" s="61"/>
      <c r="M81" s="71"/>
      <c r="N81" s="91"/>
      <c r="O81" s="70"/>
      <c r="P81" s="61"/>
      <c r="Q81" s="113"/>
      <c r="R81" s="60">
        <v>213.96</v>
      </c>
      <c r="S81" s="69"/>
      <c r="T81" s="59">
        <v>330.31</v>
      </c>
      <c r="U81" s="71"/>
      <c r="V81" s="23">
        <f t="shared" si="2"/>
        <v>544.27</v>
      </c>
    </row>
    <row r="82" spans="1:148" x14ac:dyDescent="0.25">
      <c r="A82" s="4" t="s">
        <v>105</v>
      </c>
      <c r="B82" s="66"/>
      <c r="C82" s="69"/>
      <c r="D82" s="63"/>
      <c r="E82" s="71"/>
      <c r="F82" s="66"/>
      <c r="G82" s="69"/>
      <c r="H82" s="63"/>
      <c r="I82" s="71"/>
      <c r="J82" s="60"/>
      <c r="K82" s="70"/>
      <c r="L82" s="61"/>
      <c r="M82" s="71"/>
      <c r="N82" s="91"/>
      <c r="O82" s="70"/>
      <c r="P82" s="61">
        <v>311.11</v>
      </c>
      <c r="Q82" s="113"/>
      <c r="R82" s="60">
        <v>684.43</v>
      </c>
      <c r="S82" s="69"/>
      <c r="T82" s="59">
        <v>632.09</v>
      </c>
      <c r="U82" s="71"/>
      <c r="V82" s="23">
        <f t="shared" si="2"/>
        <v>1627.63</v>
      </c>
    </row>
    <row r="83" spans="1:148" x14ac:dyDescent="0.25">
      <c r="A83" s="4" t="s">
        <v>34</v>
      </c>
      <c r="B83" s="66">
        <v>3229.56</v>
      </c>
      <c r="C83" s="69">
        <f>B83/B56*100</f>
        <v>2.3645618832677133</v>
      </c>
      <c r="D83" s="63">
        <v>2754.49</v>
      </c>
      <c r="E83" s="71">
        <f>D83/D56*100</f>
        <v>2.4283803715272354</v>
      </c>
      <c r="F83" s="66">
        <v>2003.21</v>
      </c>
      <c r="G83" s="69">
        <f>F83/F56*100</f>
        <v>1.8387315972863791</v>
      </c>
      <c r="H83" s="63">
        <v>114.08</v>
      </c>
      <c r="I83" s="71">
        <f>H83/H56*100</f>
        <v>0.1371681745787261</v>
      </c>
      <c r="J83" s="60">
        <v>308.23</v>
      </c>
      <c r="K83" s="70">
        <f>J83/J56*100</f>
        <v>0.30934096714942044</v>
      </c>
      <c r="L83" s="61">
        <v>1387.62</v>
      </c>
      <c r="M83" s="71">
        <f>L83/L56*100</f>
        <v>1.8077369923890105</v>
      </c>
      <c r="N83" s="91">
        <v>1168.73</v>
      </c>
      <c r="O83" s="70">
        <f>N83/N56*100</f>
        <v>1.4376909163196057</v>
      </c>
      <c r="P83" s="61">
        <v>27.9</v>
      </c>
      <c r="Q83" s="113">
        <f>P83/P56*100</f>
        <v>2.0095145833858515E-2</v>
      </c>
      <c r="R83" s="60"/>
      <c r="S83" s="69">
        <f>R83/R56*100</f>
        <v>0</v>
      </c>
      <c r="T83" s="59">
        <v>0</v>
      </c>
      <c r="U83" s="71">
        <f>T83/T56*100</f>
        <v>0</v>
      </c>
      <c r="V83" s="23">
        <f t="shared" si="2"/>
        <v>10993.819999999998</v>
      </c>
    </row>
    <row r="84" spans="1:148" x14ac:dyDescent="0.25">
      <c r="A84" s="4" t="s">
        <v>35</v>
      </c>
      <c r="B84" s="66">
        <v>7465.25</v>
      </c>
      <c r="C84" s="69">
        <f>B84/B56*100</f>
        <v>5.4657741608963128</v>
      </c>
      <c r="D84" s="63">
        <v>7549.7</v>
      </c>
      <c r="E84" s="71">
        <f>D84/D56*100</f>
        <v>6.6558757849617063</v>
      </c>
      <c r="F84" s="66">
        <v>8384.7199999999993</v>
      </c>
      <c r="G84" s="69">
        <f>F84/F56*100</f>
        <v>7.6962722821866141</v>
      </c>
      <c r="H84" s="63">
        <v>8328.7800000000007</v>
      </c>
      <c r="I84" s="71">
        <f>H84/H56*100</f>
        <v>10.014406986919727</v>
      </c>
      <c r="J84" s="60">
        <v>8347.8700000000008</v>
      </c>
      <c r="K84" s="70">
        <f>J84/J56*100</f>
        <v>8.3779586005179016</v>
      </c>
      <c r="L84" s="61">
        <v>8184.18</v>
      </c>
      <c r="M84" s="71">
        <f>L84/L56*100</f>
        <v>10.662029185490477</v>
      </c>
      <c r="N84" s="91">
        <v>8184.18</v>
      </c>
      <c r="O84" s="70">
        <f>N84/N56*100</f>
        <v>10.067612916177895</v>
      </c>
      <c r="P84" s="61">
        <v>8184.18</v>
      </c>
      <c r="Q84" s="113">
        <f>P84/P56*100</f>
        <v>5.8947057573673192</v>
      </c>
      <c r="R84" s="60">
        <v>7856.07</v>
      </c>
      <c r="S84" s="69">
        <f>R84/R56*100</f>
        <v>6.6310688806271365</v>
      </c>
      <c r="T84" s="59">
        <v>7856.07</v>
      </c>
      <c r="U84" s="71">
        <f>T84/T56*100</f>
        <v>6.7761794229379042</v>
      </c>
      <c r="V84" s="23">
        <f t="shared" si="2"/>
        <v>80341</v>
      </c>
    </row>
    <row r="85" spans="1:148" x14ac:dyDescent="0.25">
      <c r="A85" s="4" t="s">
        <v>50</v>
      </c>
      <c r="B85" s="66">
        <v>70.97</v>
      </c>
      <c r="C85" s="69">
        <f>B85/B56*100</f>
        <v>5.1961554160786488E-2</v>
      </c>
      <c r="D85" s="63"/>
      <c r="E85" s="71">
        <f>D85/D56*100</f>
        <v>0</v>
      </c>
      <c r="F85" s="66"/>
      <c r="G85" s="69">
        <f>F85/F56*100</f>
        <v>0</v>
      </c>
      <c r="H85" s="63">
        <v>0</v>
      </c>
      <c r="I85" s="71">
        <f>H85/H56*100</f>
        <v>0</v>
      </c>
      <c r="J85" s="60"/>
      <c r="K85" s="70">
        <f>J85/J56*100</f>
        <v>0</v>
      </c>
      <c r="L85" s="61"/>
      <c r="M85" s="71">
        <f>L85/L56*100</f>
        <v>0</v>
      </c>
      <c r="N85" s="91">
        <v>187.27</v>
      </c>
      <c r="O85" s="70">
        <f>N85/N56*100</f>
        <v>0.23036661837992742</v>
      </c>
      <c r="P85" s="61"/>
      <c r="Q85" s="113">
        <f>P85/P56*100</f>
        <v>0</v>
      </c>
      <c r="R85" s="60"/>
      <c r="S85" s="69">
        <f>R85/R56*100</f>
        <v>0</v>
      </c>
      <c r="T85" s="59">
        <v>96.29</v>
      </c>
      <c r="U85" s="71">
        <f>T85/T56*100</f>
        <v>8.3054035495443768E-2</v>
      </c>
      <c r="V85" s="23">
        <f t="shared" si="2"/>
        <v>354.53000000000003</v>
      </c>
    </row>
    <row r="86" spans="1:148" x14ac:dyDescent="0.25">
      <c r="A86" s="4"/>
      <c r="B86" s="66"/>
      <c r="C86" s="69">
        <f>B86/B56*100</f>
        <v>0</v>
      </c>
      <c r="D86" s="63"/>
      <c r="E86" s="71">
        <f>D86/D56*100</f>
        <v>0</v>
      </c>
      <c r="F86" s="66"/>
      <c r="G86" s="69">
        <f>F86/F56*100</f>
        <v>0</v>
      </c>
      <c r="H86" s="63">
        <v>0</v>
      </c>
      <c r="I86" s="71">
        <f>H86/H56*100</f>
        <v>0</v>
      </c>
      <c r="J86" s="60"/>
      <c r="K86" s="70">
        <f>J86/J56*100</f>
        <v>0</v>
      </c>
      <c r="L86" s="61"/>
      <c r="M86" s="71"/>
      <c r="N86" s="91">
        <f>AVERAGE(B86,D86,F86,H86,J86,L86)</f>
        <v>0</v>
      </c>
      <c r="O86" s="70"/>
      <c r="P86" s="61"/>
      <c r="Q86" s="113"/>
      <c r="R86" s="60"/>
      <c r="S86" s="69"/>
      <c r="T86" s="59"/>
      <c r="U86" s="71"/>
      <c r="V86" s="23">
        <f t="shared" si="2"/>
        <v>0</v>
      </c>
    </row>
    <row r="87" spans="1:148" x14ac:dyDescent="0.25">
      <c r="A87" s="4" t="s">
        <v>36</v>
      </c>
      <c r="B87" s="66">
        <v>6595.48</v>
      </c>
      <c r="C87" s="69">
        <f>B87/B56*100</f>
        <v>4.8289614095587439</v>
      </c>
      <c r="D87" s="63">
        <v>6744.48</v>
      </c>
      <c r="E87" s="71">
        <f>D87/D56*100</f>
        <v>5.9459874053483626</v>
      </c>
      <c r="F87" s="66">
        <v>6475.57</v>
      </c>
      <c r="G87" s="69">
        <f>F87/F56*100</f>
        <v>5.9438776610738548</v>
      </c>
      <c r="H87" s="63">
        <v>8203.2800000000007</v>
      </c>
      <c r="I87" s="71">
        <f>H87/H56*100</f>
        <v>9.863507566253265</v>
      </c>
      <c r="J87" s="60">
        <v>6608.95</v>
      </c>
      <c r="K87" s="70">
        <f>J87/J56*100</f>
        <v>6.6327709335306819</v>
      </c>
      <c r="L87" s="61">
        <v>6839.29</v>
      </c>
      <c r="M87" s="71">
        <f>L87/L56*100</f>
        <v>8.9099591636588098</v>
      </c>
      <c r="N87" s="91">
        <v>6427.73</v>
      </c>
      <c r="O87" s="70">
        <f>N87/N56*100</f>
        <v>7.9069494524441213</v>
      </c>
      <c r="P87" s="61">
        <v>688.54</v>
      </c>
      <c r="Q87" s="113">
        <f>P87/P56*100</f>
        <v>0.49592515098368972</v>
      </c>
      <c r="R87" s="60">
        <v>2577.14</v>
      </c>
      <c r="S87" s="69">
        <f>R87/R56*100</f>
        <v>2.1752852068552619</v>
      </c>
      <c r="T87" s="59">
        <v>2833.92</v>
      </c>
      <c r="U87" s="71">
        <f>T87/T56*100</f>
        <v>2.4443710901573161</v>
      </c>
      <c r="V87" s="23">
        <f t="shared" si="2"/>
        <v>53994.38</v>
      </c>
    </row>
    <row r="88" spans="1:148" x14ac:dyDescent="0.25">
      <c r="A88" s="4" t="s">
        <v>37</v>
      </c>
      <c r="B88" s="66">
        <v>24875.06</v>
      </c>
      <c r="C88" s="69">
        <f>B88/B56*100</f>
        <v>18.212579645523654</v>
      </c>
      <c r="D88" s="63">
        <v>24022.69</v>
      </c>
      <c r="E88" s="71">
        <f>D88/D56*100</f>
        <v>21.178595263472953</v>
      </c>
      <c r="F88" s="66">
        <v>30224</v>
      </c>
      <c r="G88" s="69">
        <f>F88/F56*100</f>
        <v>27.742385369673432</v>
      </c>
      <c r="H88" s="63">
        <v>24717.84</v>
      </c>
      <c r="I88" s="71">
        <f>H88/H56*100</f>
        <v>29.720380367540489</v>
      </c>
      <c r="J88" s="60">
        <v>25989.78</v>
      </c>
      <c r="K88" s="70">
        <f>J88/J56*100</f>
        <v>26.083456124324901</v>
      </c>
      <c r="L88" s="61">
        <v>22071</v>
      </c>
      <c r="M88" s="71">
        <f>L88/L56*100</f>
        <v>28.753234429467618</v>
      </c>
      <c r="N88" s="91">
        <v>27026.93</v>
      </c>
      <c r="O88" s="70">
        <f>N88/N56*100</f>
        <v>33.246662408773489</v>
      </c>
      <c r="P88" s="61">
        <v>15289.73</v>
      </c>
      <c r="Q88" s="113">
        <f>P88/P56*100</f>
        <v>11.012521652699697</v>
      </c>
      <c r="R88" s="60">
        <v>17135</v>
      </c>
      <c r="S88" s="69">
        <f>R88/R56*100</f>
        <v>14.463130454482457</v>
      </c>
      <c r="T88" s="59">
        <v>16726.060000000001</v>
      </c>
      <c r="U88" s="71">
        <f>T88/T56*100</f>
        <v>14.426906022836453</v>
      </c>
      <c r="V88" s="23">
        <f t="shared" si="2"/>
        <v>228078.09</v>
      </c>
    </row>
    <row r="89" spans="1:148" x14ac:dyDescent="0.25">
      <c r="A89" s="4" t="s">
        <v>38</v>
      </c>
      <c r="B89" s="66">
        <v>3715.37</v>
      </c>
      <c r="C89" s="69">
        <f>B89/B56*100</f>
        <v>2.7202536209998773</v>
      </c>
      <c r="D89" s="63">
        <v>3259.3</v>
      </c>
      <c r="E89" s="71">
        <f>D89/D56*100</f>
        <v>2.8734248971383889</v>
      </c>
      <c r="F89" s="66">
        <v>3586.02</v>
      </c>
      <c r="G89" s="69">
        <f>F89/F56*100</f>
        <v>3.2915811534990844</v>
      </c>
      <c r="H89" s="63">
        <v>3992.73</v>
      </c>
      <c r="I89" s="71">
        <f>H89/H56*100</f>
        <v>4.8008019432478708</v>
      </c>
      <c r="J89" s="60">
        <v>3727.61</v>
      </c>
      <c r="K89" s="70">
        <f>J89/J56*100</f>
        <v>3.7410455911360061</v>
      </c>
      <c r="L89" s="61">
        <v>3657.89</v>
      </c>
      <c r="M89" s="71">
        <f>L89/L56*100</f>
        <v>4.7653558373977303</v>
      </c>
      <c r="N89" s="91">
        <v>3373.32</v>
      </c>
      <c r="O89" s="70">
        <f>N89/N56*100</f>
        <v>4.1496252529149178</v>
      </c>
      <c r="P89" s="61">
        <v>2071.83</v>
      </c>
      <c r="Q89" s="113">
        <f>P89/P56*100</f>
        <v>1.4922482434753794</v>
      </c>
      <c r="R89" s="60">
        <v>2125.35</v>
      </c>
      <c r="S89" s="69">
        <f>R89/R56*100</f>
        <v>1.7939430587355871</v>
      </c>
      <c r="T89" s="59">
        <v>2087.73</v>
      </c>
      <c r="U89" s="71">
        <f>T89/T56*100</f>
        <v>1.8007519111527968</v>
      </c>
      <c r="V89" s="23">
        <f t="shared" si="2"/>
        <v>31597.149999999998</v>
      </c>
    </row>
    <row r="90" spans="1:148" x14ac:dyDescent="0.25">
      <c r="A90" s="4" t="s">
        <v>39</v>
      </c>
      <c r="B90" s="66">
        <v>6892.51</v>
      </c>
      <c r="C90" s="69">
        <f>B90/B56*100</f>
        <v>5.0464355596556638</v>
      </c>
      <c r="D90" s="63">
        <v>6604.48</v>
      </c>
      <c r="E90" s="71">
        <f>D90/D56*100</f>
        <v>5.8225622878079779</v>
      </c>
      <c r="F90" s="66">
        <v>7256.31</v>
      </c>
      <c r="G90" s="69">
        <f>F90/F56*100</f>
        <v>6.6605131148033028</v>
      </c>
      <c r="H90" s="63">
        <v>9200.76</v>
      </c>
      <c r="I90" s="71">
        <f>H90/H56*100</f>
        <v>11.062863376025245</v>
      </c>
      <c r="J90" s="60">
        <v>11969.52</v>
      </c>
      <c r="K90" s="70">
        <f>J90/J56*100</f>
        <v>12.012662275295497</v>
      </c>
      <c r="L90" s="61">
        <v>9148.98</v>
      </c>
      <c r="M90" s="71">
        <f>L90/L56*100</f>
        <v>11.918932840854996</v>
      </c>
      <c r="N90" s="91">
        <v>16286.25</v>
      </c>
      <c r="O90" s="70">
        <f>N90/N56*100</f>
        <v>20.034219782079845</v>
      </c>
      <c r="P90" s="61">
        <v>20440.62</v>
      </c>
      <c r="Q90" s="113">
        <f>P90/P56*100</f>
        <v>14.72248171449767</v>
      </c>
      <c r="R90" s="60">
        <v>14895.34</v>
      </c>
      <c r="S90" s="69">
        <f>R90/R56*100</f>
        <v>12.572701814057233</v>
      </c>
      <c r="T90" s="59">
        <v>13731.03</v>
      </c>
      <c r="U90" s="71">
        <f>T90/T56*100</f>
        <v>11.843571014736764</v>
      </c>
      <c r="V90" s="23">
        <f t="shared" si="2"/>
        <v>116425.79999999999</v>
      </c>
    </row>
    <row r="91" spans="1:148" x14ac:dyDescent="0.25">
      <c r="A91" s="25" t="s">
        <v>40</v>
      </c>
      <c r="B91" s="111"/>
      <c r="C91" s="69">
        <f>B91/B56*100</f>
        <v>0</v>
      </c>
      <c r="D91" s="112"/>
      <c r="E91" s="71">
        <f>D91/D56*100</f>
        <v>0</v>
      </c>
      <c r="F91" s="111"/>
      <c r="G91" s="69">
        <f>F91/F56*100</f>
        <v>0</v>
      </c>
      <c r="H91" s="110">
        <v>0</v>
      </c>
      <c r="I91" s="71">
        <f>H91/H56*100</f>
        <v>0</v>
      </c>
      <c r="J91" s="109">
        <v>300</v>
      </c>
      <c r="K91" s="70">
        <f>J91/J56*100</f>
        <v>0.30108130339300565</v>
      </c>
      <c r="L91" s="108">
        <v>0</v>
      </c>
      <c r="M91" s="106">
        <f>L91/L56*100</f>
        <v>0</v>
      </c>
      <c r="N91" s="91">
        <v>0</v>
      </c>
      <c r="O91" s="70">
        <f>N91/N56*100</f>
        <v>0</v>
      </c>
      <c r="P91" s="108">
        <v>691.04</v>
      </c>
      <c r="Q91" s="107">
        <f>P91/P56*100</f>
        <v>0.49772579129138311</v>
      </c>
      <c r="R91" s="60">
        <v>0</v>
      </c>
      <c r="S91" s="69">
        <f>R91/R56*100</f>
        <v>0</v>
      </c>
      <c r="T91" s="59"/>
      <c r="U91" s="106">
        <f>T91/T56*100</f>
        <v>0</v>
      </c>
      <c r="V91" s="23">
        <f t="shared" si="2"/>
        <v>991.04</v>
      </c>
    </row>
    <row r="92" spans="1:148" s="7" customFormat="1" x14ac:dyDescent="0.25">
      <c r="A92" s="25" t="s">
        <v>67</v>
      </c>
      <c r="B92" s="105">
        <f t="shared" ref="B92:L92" si="3">SUM(B87:B91)</f>
        <v>42078.420000000006</v>
      </c>
      <c r="C92" s="104">
        <f t="shared" si="3"/>
        <v>30.808230235737938</v>
      </c>
      <c r="D92" s="103">
        <f t="shared" si="3"/>
        <v>40630.949999999997</v>
      </c>
      <c r="E92" s="102">
        <f t="shared" si="3"/>
        <v>35.82056985376768</v>
      </c>
      <c r="F92" s="105">
        <f t="shared" si="3"/>
        <v>47541.899999999994</v>
      </c>
      <c r="G92" s="104">
        <f t="shared" si="3"/>
        <v>43.638357299049666</v>
      </c>
      <c r="H92" s="103">
        <f t="shared" si="3"/>
        <v>46114.610000000008</v>
      </c>
      <c r="I92" s="102">
        <f t="shared" si="3"/>
        <v>55.447553253066872</v>
      </c>
      <c r="J92" s="101">
        <f t="shared" si="3"/>
        <v>48595.86</v>
      </c>
      <c r="K92" s="28">
        <f t="shared" si="3"/>
        <v>48.771016227680093</v>
      </c>
      <c r="L92" s="100">
        <f t="shared" si="3"/>
        <v>41717.160000000003</v>
      </c>
      <c r="M92" s="99">
        <f>L92/L56*100</f>
        <v>54.347482271379157</v>
      </c>
      <c r="N92" s="98">
        <f>SUM(N87:N91)</f>
        <v>53114.23</v>
      </c>
      <c r="O92" s="97">
        <f>N92/N56*100</f>
        <v>65.337456896212373</v>
      </c>
      <c r="P92" s="96">
        <f>SUM(P87:P91)</f>
        <v>39181.760000000002</v>
      </c>
      <c r="Q92" s="95">
        <f>P92/P56*100</f>
        <v>28.220902552947823</v>
      </c>
      <c r="R92" s="60">
        <f>SUM(R87:R91)</f>
        <v>36732.83</v>
      </c>
      <c r="S92" s="69">
        <f>R92/R56*100</f>
        <v>31.005060534130539</v>
      </c>
      <c r="T92" s="94">
        <f>SUM(T87:T91)</f>
        <v>35378.740000000005</v>
      </c>
      <c r="U92" s="93">
        <f>T92/T56*100</f>
        <v>30.515600038883335</v>
      </c>
      <c r="V92" s="23">
        <f t="shared" si="2"/>
        <v>431086.46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</row>
    <row r="93" spans="1:148" x14ac:dyDescent="0.25">
      <c r="A93" s="4" t="s">
        <v>41</v>
      </c>
      <c r="B93" s="66">
        <v>39582.54</v>
      </c>
      <c r="C93" s="69">
        <f>B93/B56*100</f>
        <v>28.980841144589231</v>
      </c>
      <c r="D93" s="63">
        <v>35434.44</v>
      </c>
      <c r="E93" s="71">
        <f>D93/D56*100</f>
        <v>31.239285156983527</v>
      </c>
      <c r="F93" s="66">
        <v>23691.65</v>
      </c>
      <c r="G93" s="69">
        <f>F93/F56*100</f>
        <v>21.746389767847525</v>
      </c>
      <c r="H93" s="63">
        <v>894.75</v>
      </c>
      <c r="I93" s="71">
        <f>H93/H56*100</f>
        <v>1.0758347142734499</v>
      </c>
      <c r="J93" s="60">
        <v>9300</v>
      </c>
      <c r="K93" s="70">
        <f>J93/J56*100</f>
        <v>9.3335204051831759</v>
      </c>
      <c r="L93" s="92">
        <v>11160</v>
      </c>
      <c r="M93" s="71">
        <f>L93/L56*100</f>
        <v>14.538810938917972</v>
      </c>
      <c r="N93" s="91">
        <v>4650</v>
      </c>
      <c r="O93" s="70">
        <f>N93/N56*100</f>
        <v>5.7201088026200804</v>
      </c>
      <c r="P93" s="61">
        <v>0</v>
      </c>
      <c r="Q93" s="8"/>
      <c r="R93" s="60"/>
      <c r="S93" s="69">
        <f>R93/R56*100</f>
        <v>0</v>
      </c>
      <c r="T93" s="59"/>
      <c r="U93" s="5"/>
      <c r="V93" s="23">
        <f t="shared" si="2"/>
        <v>124713.38</v>
      </c>
    </row>
    <row r="94" spans="1:148" x14ac:dyDescent="0.25">
      <c r="A94" s="4" t="s">
        <v>48</v>
      </c>
      <c r="B94" s="66">
        <v>0</v>
      </c>
      <c r="C94" s="69">
        <f>B94/B56*100</f>
        <v>0</v>
      </c>
      <c r="D94" s="63">
        <v>1917.59</v>
      </c>
      <c r="E94" s="71">
        <f>D94/D56*100</f>
        <v>1.6905626510304674</v>
      </c>
      <c r="F94" s="66">
        <v>0</v>
      </c>
      <c r="G94" s="69">
        <f>F94/F56*100</f>
        <v>0</v>
      </c>
      <c r="H94" s="63">
        <v>0</v>
      </c>
      <c r="I94" s="71">
        <f>H94/H56*100</f>
        <v>0</v>
      </c>
      <c r="J94" s="60"/>
      <c r="K94" s="70">
        <f>J94/J56*100</f>
        <v>0</v>
      </c>
      <c r="L94" s="92">
        <v>0</v>
      </c>
      <c r="M94" s="71">
        <f>L94/L56*100</f>
        <v>0</v>
      </c>
      <c r="N94" s="91"/>
      <c r="O94" s="70">
        <f>N94/N56*100</f>
        <v>0</v>
      </c>
      <c r="P94" s="61">
        <v>0</v>
      </c>
      <c r="Q94" s="8"/>
      <c r="R94" s="60"/>
      <c r="S94" s="69">
        <f>R94/R56*100</f>
        <v>0</v>
      </c>
      <c r="T94" s="59"/>
      <c r="U94" s="5"/>
      <c r="V94" s="23">
        <f t="shared" si="2"/>
        <v>1917.59</v>
      </c>
    </row>
    <row r="95" spans="1:148" x14ac:dyDescent="0.25">
      <c r="A95" s="4" t="s">
        <v>42</v>
      </c>
      <c r="B95" s="66">
        <v>162</v>
      </c>
      <c r="C95" s="69">
        <f>B95/B56*100</f>
        <v>0.1186102828525773</v>
      </c>
      <c r="D95" s="63">
        <v>192</v>
      </c>
      <c r="E95" s="71">
        <f>D95/D56*100</f>
        <v>0.16926873262681269</v>
      </c>
      <c r="F95" s="66">
        <v>81</v>
      </c>
      <c r="G95" s="69">
        <f>F95/F56*100</f>
        <v>7.4349299065098864E-2</v>
      </c>
      <c r="H95" s="63">
        <v>126</v>
      </c>
      <c r="I95" s="71">
        <f>H95/H56*100</f>
        <v>0.15150061357748498</v>
      </c>
      <c r="J95" s="60">
        <v>0</v>
      </c>
      <c r="K95" s="70">
        <f>J95/J56*100</f>
        <v>0</v>
      </c>
      <c r="L95" s="61">
        <v>0</v>
      </c>
      <c r="M95" s="71">
        <f>L95/L56*100</f>
        <v>0</v>
      </c>
      <c r="N95" s="91">
        <v>0</v>
      </c>
      <c r="O95" s="70">
        <f>N95/N56*100</f>
        <v>0</v>
      </c>
      <c r="P95" s="61">
        <v>0</v>
      </c>
      <c r="Q95" s="8"/>
      <c r="R95" s="60"/>
      <c r="S95" s="69">
        <f>R95/R56*100</f>
        <v>0</v>
      </c>
      <c r="T95" s="59"/>
      <c r="U95" s="5"/>
      <c r="V95" s="23">
        <f t="shared" si="2"/>
        <v>561</v>
      </c>
    </row>
    <row r="96" spans="1:148" x14ac:dyDescent="0.25">
      <c r="A96" s="4" t="s">
        <v>43</v>
      </c>
      <c r="B96" s="66">
        <v>37</v>
      </c>
      <c r="C96" s="69">
        <f>B96/B56*100</f>
        <v>2.7090002873736793E-2</v>
      </c>
      <c r="D96" s="63">
        <v>44</v>
      </c>
      <c r="E96" s="71">
        <f>D96/D56*100</f>
        <v>3.8790751226977907E-2</v>
      </c>
      <c r="F96" s="66">
        <v>22</v>
      </c>
      <c r="G96" s="69">
        <f>F96/F56*100</f>
        <v>2.019363678311327E-2</v>
      </c>
      <c r="H96" s="63">
        <v>29</v>
      </c>
      <c r="I96" s="71">
        <f>H96/H56*100</f>
        <v>3.4869188839262419E-2</v>
      </c>
      <c r="J96" s="60">
        <v>0</v>
      </c>
      <c r="K96" s="70">
        <f>J96/J56*100</f>
        <v>0</v>
      </c>
      <c r="L96" s="61">
        <v>0</v>
      </c>
      <c r="M96" s="71">
        <f>L96/L56*100</f>
        <v>0</v>
      </c>
      <c r="N96" s="91">
        <v>0</v>
      </c>
      <c r="O96" s="70">
        <f>N96/N56*100</f>
        <v>0</v>
      </c>
      <c r="P96" s="61">
        <v>0</v>
      </c>
      <c r="Q96" s="8"/>
      <c r="R96" s="60"/>
      <c r="S96" s="69">
        <f>R96/R56*100</f>
        <v>0</v>
      </c>
      <c r="T96" s="59"/>
      <c r="U96" s="5"/>
      <c r="V96" s="23">
        <f t="shared" si="2"/>
        <v>132</v>
      </c>
    </row>
    <row r="97" spans="1:25" x14ac:dyDescent="0.25">
      <c r="A97" s="4" t="s">
        <v>104</v>
      </c>
      <c r="B97" s="66"/>
      <c r="C97" s="69"/>
      <c r="D97" s="63"/>
      <c r="E97" s="71"/>
      <c r="F97" s="66"/>
      <c r="G97" s="69"/>
      <c r="H97" s="63"/>
      <c r="I97" s="71"/>
      <c r="J97" s="60"/>
      <c r="K97" s="70"/>
      <c r="L97" s="61"/>
      <c r="M97" s="71"/>
      <c r="N97" s="91"/>
      <c r="O97" s="70"/>
      <c r="P97" s="61"/>
      <c r="Q97" s="8"/>
      <c r="R97" s="60">
        <v>95.4</v>
      </c>
      <c r="S97" s="69"/>
      <c r="T97" s="59">
        <v>167.76</v>
      </c>
      <c r="U97" s="5"/>
      <c r="V97" s="23">
        <f t="shared" si="2"/>
        <v>263.15999999999997</v>
      </c>
    </row>
    <row r="98" spans="1:25" ht="14.95" thickBot="1" x14ac:dyDescent="0.3">
      <c r="A98" s="4" t="s">
        <v>103</v>
      </c>
      <c r="B98" s="90"/>
      <c r="C98" s="89">
        <f>B98/B56*100</f>
        <v>0</v>
      </c>
      <c r="D98" s="63"/>
      <c r="E98" s="71">
        <f>D98/D56*100</f>
        <v>0</v>
      </c>
      <c r="F98" s="90"/>
      <c r="G98" s="89">
        <f>F98/F56*100</f>
        <v>0</v>
      </c>
      <c r="H98" s="63">
        <v>0</v>
      </c>
      <c r="I98" s="71">
        <f>H98/H56*100</f>
        <v>0</v>
      </c>
      <c r="J98" s="52"/>
      <c r="K98" s="86">
        <f>J98/J56*100</f>
        <v>0</v>
      </c>
      <c r="L98" s="53"/>
      <c r="M98" s="88">
        <f>L98/L56*100</f>
        <v>0</v>
      </c>
      <c r="N98" s="87">
        <f>26+125.83</f>
        <v>151.82999999999998</v>
      </c>
      <c r="O98" s="86">
        <f>N98/N56*100</f>
        <v>0.18677077838748532</v>
      </c>
      <c r="P98" s="53">
        <v>0</v>
      </c>
      <c r="Q98" s="18"/>
      <c r="R98" s="60">
        <v>104.71</v>
      </c>
      <c r="S98" s="69">
        <f>R98/R56*100</f>
        <v>8.8382514729434369E-2</v>
      </c>
      <c r="T98" s="51">
        <v>61.5</v>
      </c>
      <c r="U98" s="58"/>
      <c r="V98" s="23">
        <f t="shared" si="2"/>
        <v>318.03999999999996</v>
      </c>
    </row>
    <row r="99" spans="1:25" ht="14.95" thickBot="1" x14ac:dyDescent="0.3">
      <c r="A99" s="4" t="s">
        <v>44</v>
      </c>
      <c r="B99" s="85">
        <f>SUM(B93:B98, B59:B91)</f>
        <v>135479.66999999998</v>
      </c>
      <c r="C99" s="76">
        <f>B99/B56*100</f>
        <v>99.193098638727335</v>
      </c>
      <c r="D99" s="84">
        <f>SUM(D93:D98, D59:D91)</f>
        <v>134606.28</v>
      </c>
      <c r="E99" s="81">
        <f>D99/D56*100</f>
        <v>118.6699709333848</v>
      </c>
      <c r="F99" s="85">
        <f>SUM(F93:F98, F59:F91)</f>
        <v>109613.08</v>
      </c>
      <c r="G99" s="76">
        <f>F99/F56*100</f>
        <v>100.61303291810626</v>
      </c>
      <c r="H99" s="84">
        <f>SUM(H93:H98, H59:H91)</f>
        <v>73793.77</v>
      </c>
      <c r="I99" s="81">
        <f>H99/H56*100</f>
        <v>88.728582803141308</v>
      </c>
      <c r="J99" s="83">
        <f>SUM(J93:J98, J59:J91)</f>
        <v>106856.64000000001</v>
      </c>
      <c r="K99" s="76">
        <f>J99/J56*100</f>
        <v>107.24178815799061</v>
      </c>
      <c r="L99" s="82">
        <f>SUM(L93:L98, L59:L91)</f>
        <v>82314.25999999998</v>
      </c>
      <c r="M99" s="81">
        <f>L99/L56*100</f>
        <v>107.23579423986899</v>
      </c>
      <c r="N99" s="80">
        <f>SUM(N93:N98, N59:N91)</f>
        <v>92139.63</v>
      </c>
      <c r="O99" s="78">
        <f>N99/N56*100</f>
        <v>113.34380830820585</v>
      </c>
      <c r="P99" s="79">
        <f>SUM(P93:P98, P59:P91)</f>
        <v>139302.79999999999</v>
      </c>
      <c r="Q99" s="78">
        <f>P99/P56*100</f>
        <v>100.33369466182171</v>
      </c>
      <c r="R99" s="60">
        <f>SUM(R93:R98, R59:R91)</f>
        <v>102713.03000000001</v>
      </c>
      <c r="S99" s="69">
        <f>R99/R56*100</f>
        <v>86.696933309901965</v>
      </c>
      <c r="T99" s="77">
        <f>SUM(T93:T98, T59:T91)</f>
        <v>111146.39999999998</v>
      </c>
      <c r="U99" s="76">
        <f>T99/T56*100</f>
        <v>95.868283838309154</v>
      </c>
      <c r="V99" s="75">
        <f t="shared" si="2"/>
        <v>1087965.5599999998</v>
      </c>
      <c r="X99" s="1">
        <f>+N99-92139.63</f>
        <v>0</v>
      </c>
    </row>
    <row r="100" spans="1:25" x14ac:dyDescent="0.25">
      <c r="A100" s="4"/>
      <c r="B100" s="66"/>
      <c r="C100" s="23"/>
      <c r="D100" s="63"/>
      <c r="E100" s="22"/>
      <c r="F100" s="66"/>
      <c r="G100" s="23"/>
      <c r="H100" s="63"/>
      <c r="I100" s="22"/>
      <c r="J100" s="60"/>
      <c r="K100" s="65"/>
      <c r="L100" s="61"/>
      <c r="M100" s="71">
        <f>L100/L56*100</f>
        <v>0</v>
      </c>
      <c r="N100" s="64"/>
      <c r="O100" s="70">
        <f>N100/N56*100</f>
        <v>0</v>
      </c>
      <c r="P100" s="74"/>
      <c r="Q100" s="17"/>
      <c r="R100" s="60"/>
      <c r="S100" s="69">
        <f>R100/R56*100</f>
        <v>0</v>
      </c>
      <c r="T100" s="59"/>
      <c r="U100" s="68"/>
      <c r="V100" s="13"/>
    </row>
    <row r="101" spans="1:25" x14ac:dyDescent="0.25">
      <c r="A101" s="4" t="s">
        <v>45</v>
      </c>
      <c r="B101" s="66">
        <v>1102.08</v>
      </c>
      <c r="C101" s="65">
        <v>0.81</v>
      </c>
      <c r="D101" s="63">
        <v>-21177.18</v>
      </c>
      <c r="E101" s="73">
        <v>-18.670000000000002</v>
      </c>
      <c r="F101" s="66">
        <v>-667.87</v>
      </c>
      <c r="G101" s="65">
        <v>-0.61</v>
      </c>
      <c r="H101" s="63">
        <v>9374.19</v>
      </c>
      <c r="I101" s="22">
        <v>11.27</v>
      </c>
      <c r="J101" s="60">
        <v>-7215.58</v>
      </c>
      <c r="K101" s="65">
        <v>-7.24</v>
      </c>
      <c r="L101" s="72">
        <f>+L56-L99</f>
        <v>-5554.1999999999825</v>
      </c>
      <c r="M101" s="71">
        <f>L101/L56*100</f>
        <v>-7.2357942398689925</v>
      </c>
      <c r="N101" s="64">
        <f>N56-N99</f>
        <v>-10847.470000000001</v>
      </c>
      <c r="O101" s="70">
        <f>N101/N56*100</f>
        <v>-13.34380830820586</v>
      </c>
      <c r="P101" s="61"/>
      <c r="Q101" s="8"/>
      <c r="R101" s="60"/>
      <c r="S101" s="69">
        <f>R101/R56*100</f>
        <v>0</v>
      </c>
      <c r="T101" s="59"/>
      <c r="U101" s="68"/>
      <c r="V101" s="13"/>
      <c r="Y101" s="1"/>
    </row>
    <row r="102" spans="1:25" x14ac:dyDescent="0.25">
      <c r="A102" s="4"/>
      <c r="B102" s="66"/>
      <c r="C102" s="23"/>
      <c r="D102" s="63"/>
      <c r="E102" s="22"/>
      <c r="F102" s="66"/>
      <c r="G102" s="23"/>
      <c r="H102" s="63"/>
      <c r="I102" s="22"/>
      <c r="J102" s="60"/>
      <c r="K102" s="65"/>
      <c r="L102" s="61"/>
      <c r="M102" s="5"/>
      <c r="N102" s="64"/>
      <c r="O102" s="29"/>
      <c r="P102" s="61"/>
      <c r="Q102" s="8"/>
      <c r="R102" s="60"/>
      <c r="S102" s="13"/>
      <c r="T102" s="59"/>
      <c r="U102" s="16"/>
      <c r="V102" s="13"/>
    </row>
    <row r="103" spans="1:25" x14ac:dyDescent="0.25">
      <c r="A103" s="4" t="s">
        <v>73</v>
      </c>
      <c r="B103" s="66">
        <v>42992.11</v>
      </c>
      <c r="C103" s="23"/>
      <c r="D103" s="63">
        <v>44094.19</v>
      </c>
      <c r="E103" s="22"/>
      <c r="F103" s="66">
        <v>22917.01</v>
      </c>
      <c r="G103" s="23"/>
      <c r="H103" s="63">
        <v>22249.14</v>
      </c>
      <c r="I103" s="22"/>
      <c r="J103" s="60">
        <v>31623.33</v>
      </c>
      <c r="K103" s="65"/>
      <c r="L103" s="61">
        <v>24407.75</v>
      </c>
      <c r="M103" s="5"/>
      <c r="N103" s="67">
        <v>18853.55</v>
      </c>
      <c r="O103" s="29"/>
      <c r="P103" s="61"/>
      <c r="Q103" s="8"/>
      <c r="R103" s="60"/>
      <c r="S103" s="13"/>
      <c r="T103" s="59"/>
      <c r="U103" s="16"/>
      <c r="V103" s="13"/>
    </row>
    <row r="104" spans="1:25" x14ac:dyDescent="0.25">
      <c r="A104" s="4"/>
      <c r="B104" s="66"/>
      <c r="C104" s="23"/>
      <c r="D104" s="63"/>
      <c r="E104" s="22"/>
      <c r="F104" s="66"/>
      <c r="G104" s="23"/>
      <c r="H104" s="63"/>
      <c r="I104" s="22"/>
      <c r="J104" s="60"/>
      <c r="K104" s="65"/>
      <c r="L104" s="61"/>
      <c r="M104" s="5"/>
      <c r="N104" s="64"/>
      <c r="O104" s="29"/>
      <c r="P104" s="61"/>
      <c r="Q104" s="8"/>
      <c r="R104" s="60"/>
      <c r="S104" s="13"/>
      <c r="T104" s="59"/>
      <c r="U104" s="16"/>
      <c r="V104" s="13"/>
    </row>
    <row r="105" spans="1:25" x14ac:dyDescent="0.25">
      <c r="A105" s="4" t="s">
        <v>74</v>
      </c>
      <c r="B105" s="66">
        <v>44094.19</v>
      </c>
      <c r="C105" s="23"/>
      <c r="D105" s="63">
        <v>22917.01</v>
      </c>
      <c r="E105" s="22"/>
      <c r="F105" s="66">
        <v>22249.14</v>
      </c>
      <c r="G105" s="23"/>
      <c r="H105" s="63">
        <v>31623.33</v>
      </c>
      <c r="I105" s="22"/>
      <c r="J105" s="60">
        <v>24407.75</v>
      </c>
      <c r="K105" s="65"/>
      <c r="L105" s="61">
        <v>18853.55</v>
      </c>
      <c r="M105" s="5"/>
      <c r="N105" s="64">
        <f>+N101+N103</f>
        <v>8006.0799999999981</v>
      </c>
      <c r="O105" s="29"/>
      <c r="P105" s="61"/>
      <c r="Q105" s="8"/>
      <c r="R105" s="60"/>
      <c r="S105" s="13"/>
      <c r="T105" s="59"/>
      <c r="U105" s="16"/>
      <c r="V105" s="13"/>
    </row>
    <row r="106" spans="1:25" x14ac:dyDescent="0.25">
      <c r="A106" s="4"/>
      <c r="B106" s="9"/>
      <c r="C106" s="13"/>
      <c r="D106" s="4"/>
      <c r="E106" s="5"/>
      <c r="F106" s="10"/>
      <c r="G106" s="23"/>
      <c r="H106" s="63"/>
      <c r="I106" s="22"/>
      <c r="J106" s="60"/>
      <c r="K106" s="13"/>
      <c r="L106" s="313"/>
      <c r="M106" s="314"/>
      <c r="N106" s="9"/>
      <c r="O106" s="29"/>
      <c r="P106" s="61"/>
      <c r="Q106" s="8"/>
      <c r="R106" s="60"/>
      <c r="S106" s="13"/>
      <c r="T106" s="59"/>
      <c r="U106" s="16"/>
      <c r="V106" s="13"/>
    </row>
    <row r="107" spans="1:25" x14ac:dyDescent="0.25">
      <c r="A107" s="4"/>
      <c r="B107" s="9"/>
      <c r="C107" s="13"/>
      <c r="D107" s="4"/>
      <c r="E107" s="5"/>
      <c r="F107" s="10"/>
      <c r="G107" s="23"/>
      <c r="H107" s="6"/>
      <c r="I107" s="22"/>
      <c r="J107" s="9"/>
      <c r="K107" s="13"/>
      <c r="L107" s="313"/>
      <c r="M107" s="314"/>
      <c r="N107" s="62"/>
      <c r="O107" s="29"/>
      <c r="P107" s="61"/>
      <c r="Q107" s="8"/>
      <c r="R107" s="60"/>
      <c r="S107" s="13"/>
      <c r="T107" s="59"/>
      <c r="U107" s="16"/>
      <c r="V107" s="13"/>
    </row>
    <row r="108" spans="1:25" ht="14.95" thickBot="1" x14ac:dyDescent="0.3">
      <c r="A108" s="19"/>
      <c r="B108" s="21"/>
      <c r="C108" s="50"/>
      <c r="D108" s="19"/>
      <c r="E108" s="58"/>
      <c r="F108" s="12"/>
      <c r="G108" s="57"/>
      <c r="H108" s="56"/>
      <c r="I108" s="55"/>
      <c r="J108" s="21"/>
      <c r="K108" s="50"/>
      <c r="L108" s="315"/>
      <c r="M108" s="316"/>
      <c r="N108" s="21"/>
      <c r="O108" s="54"/>
      <c r="P108" s="53"/>
      <c r="Q108" s="18"/>
      <c r="R108" s="52"/>
      <c r="S108" s="50"/>
      <c r="T108" s="51"/>
      <c r="U108" s="31"/>
      <c r="V108" s="50"/>
    </row>
    <row r="117" spans="25:25" x14ac:dyDescent="0.25">
      <c r="Y117">
        <v>30</v>
      </c>
    </row>
    <row r="118" spans="25:25" x14ac:dyDescent="0.25">
      <c r="Y118">
        <v>0.59</v>
      </c>
    </row>
    <row r="119" spans="25:25" x14ac:dyDescent="0.25">
      <c r="Y119">
        <f>+Y117*Y118</f>
        <v>17.7</v>
      </c>
    </row>
  </sheetData>
  <mergeCells count="21">
    <mergeCell ref="L106:M108"/>
    <mergeCell ref="J2:K2"/>
    <mergeCell ref="F1:G1"/>
    <mergeCell ref="H1:I1"/>
    <mergeCell ref="B2:C2"/>
    <mergeCell ref="D2:E2"/>
    <mergeCell ref="F2:G2"/>
    <mergeCell ref="H2:I2"/>
    <mergeCell ref="B1:C1"/>
    <mergeCell ref="D1:E1"/>
    <mergeCell ref="N1:O1"/>
    <mergeCell ref="N2:O2"/>
    <mergeCell ref="L1:M1"/>
    <mergeCell ref="L2:M2"/>
    <mergeCell ref="J1:K1"/>
    <mergeCell ref="P1:Q1"/>
    <mergeCell ref="P2:Q2"/>
    <mergeCell ref="R1:S1"/>
    <mergeCell ref="R2:S2"/>
    <mergeCell ref="T1:U1"/>
    <mergeCell ref="T2:U2"/>
  </mergeCells>
  <pageMargins left="0.25" right="0.25" top="0.75" bottom="0.75" header="0.3" footer="0.3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8"/>
  <sheetViews>
    <sheetView tabSelected="1" zoomScale="79" zoomScaleNormal="79" workbookViewId="0">
      <pane ySplit="1" topLeftCell="A2" activePane="bottomLeft" state="frozen"/>
      <selection pane="bottomLeft" activeCell="O28" sqref="O28"/>
    </sheetView>
  </sheetViews>
  <sheetFormatPr defaultColWidth="18.625" defaultRowHeight="16.3" x14ac:dyDescent="0.3"/>
  <cols>
    <col min="1" max="1" width="46.375" style="33" customWidth="1"/>
    <col min="2" max="2" width="17.125" style="33" customWidth="1"/>
    <col min="3" max="13" width="14.875" style="33" customWidth="1"/>
    <col min="14" max="14" width="25.75" style="33" bestFit="1" customWidth="1"/>
    <col min="15" max="16384" width="18.625" style="33"/>
  </cols>
  <sheetData>
    <row r="1" spans="1:16" ht="24.45" thickBot="1" x14ac:dyDescent="0.45">
      <c r="A1" s="239"/>
      <c r="B1" s="32"/>
      <c r="C1" s="32"/>
      <c r="D1" s="32"/>
      <c r="E1" s="279" t="s">
        <v>147</v>
      </c>
      <c r="F1" s="240"/>
      <c r="G1" s="240"/>
      <c r="H1" s="240"/>
      <c r="I1" s="240"/>
      <c r="J1" s="240"/>
      <c r="K1" s="240"/>
      <c r="L1" s="32"/>
      <c r="M1" s="241"/>
      <c r="N1" s="242"/>
      <c r="O1" s="282"/>
    </row>
    <row r="2" spans="1:16" ht="17" thickBot="1" x14ac:dyDescent="0.35">
      <c r="A2" s="243" t="s">
        <v>87</v>
      </c>
      <c r="B2" s="244" t="s">
        <v>81</v>
      </c>
      <c r="C2" s="244" t="s">
        <v>82</v>
      </c>
      <c r="D2" s="244" t="s">
        <v>83</v>
      </c>
      <c r="E2" s="244" t="s">
        <v>75</v>
      </c>
      <c r="F2" s="244" t="s">
        <v>76</v>
      </c>
      <c r="G2" s="244" t="s">
        <v>77</v>
      </c>
      <c r="H2" s="244" t="s">
        <v>78</v>
      </c>
      <c r="I2" s="245" t="s">
        <v>79</v>
      </c>
      <c r="J2" s="244" t="s">
        <v>80</v>
      </c>
      <c r="K2" s="246" t="s">
        <v>84</v>
      </c>
      <c r="L2" s="247" t="s">
        <v>85</v>
      </c>
      <c r="M2" s="248" t="s">
        <v>86</v>
      </c>
      <c r="N2" s="249" t="s">
        <v>151</v>
      </c>
      <c r="O2" s="291" t="s">
        <v>152</v>
      </c>
    </row>
    <row r="3" spans="1:16" ht="17" thickBot="1" x14ac:dyDescent="0.35">
      <c r="A3" s="250" t="s">
        <v>143</v>
      </c>
      <c r="B3" s="251">
        <v>100</v>
      </c>
      <c r="C3" s="251">
        <v>100</v>
      </c>
      <c r="D3" s="251">
        <v>100</v>
      </c>
      <c r="E3" s="251">
        <v>100</v>
      </c>
      <c r="F3" s="251">
        <v>100</v>
      </c>
      <c r="G3" s="251">
        <v>100</v>
      </c>
      <c r="H3" s="251">
        <v>100</v>
      </c>
      <c r="I3" s="251">
        <v>100</v>
      </c>
      <c r="J3" s="251">
        <v>100</v>
      </c>
      <c r="K3" s="251">
        <v>100</v>
      </c>
      <c r="L3" s="251">
        <v>100</v>
      </c>
      <c r="M3" s="251">
        <v>100</v>
      </c>
      <c r="N3" s="252">
        <f>SUM(B3:M3)</f>
        <v>1200</v>
      </c>
      <c r="O3" s="298">
        <v>1445.49</v>
      </c>
    </row>
    <row r="4" spans="1:16" x14ac:dyDescent="0.3">
      <c r="A4" s="253" t="s">
        <v>148</v>
      </c>
      <c r="B4" s="254">
        <v>20000</v>
      </c>
      <c r="C4" s="254"/>
      <c r="D4" s="254"/>
      <c r="E4" s="254"/>
      <c r="F4" s="254"/>
      <c r="G4" s="254"/>
      <c r="H4" s="254"/>
      <c r="I4" s="255"/>
      <c r="J4" s="254"/>
      <c r="K4" s="254"/>
      <c r="L4" s="256"/>
      <c r="M4" s="254"/>
      <c r="N4" s="255">
        <f>SUM(B4:M4)</f>
        <v>20000</v>
      </c>
      <c r="O4" s="292">
        <v>22500</v>
      </c>
    </row>
    <row r="5" spans="1:16" ht="17" thickBot="1" x14ac:dyDescent="0.35">
      <c r="A5" s="253" t="s">
        <v>149</v>
      </c>
      <c r="B5" s="254">
        <v>27000</v>
      </c>
      <c r="C5" s="254"/>
      <c r="D5" s="254"/>
      <c r="E5" s="254"/>
      <c r="F5" s="254"/>
      <c r="G5" s="254"/>
      <c r="H5" s="254"/>
      <c r="I5" s="255"/>
      <c r="J5" s="254"/>
      <c r="K5" s="254"/>
      <c r="L5" s="256"/>
      <c r="M5" s="254"/>
      <c r="N5" s="255">
        <f>SUM(B5:M5)</f>
        <v>27000</v>
      </c>
      <c r="O5" s="294">
        <v>29082</v>
      </c>
    </row>
    <row r="6" spans="1:16" ht="17" thickBot="1" x14ac:dyDescent="0.35">
      <c r="A6" s="281" t="s">
        <v>150</v>
      </c>
      <c r="B6" s="261">
        <f>SUM(B3:B5)</f>
        <v>47100</v>
      </c>
      <c r="C6" s="261">
        <f t="shared" ref="C6:M6" si="0">SUM(C3:C5)</f>
        <v>100</v>
      </c>
      <c r="D6" s="261">
        <f t="shared" si="0"/>
        <v>100</v>
      </c>
      <c r="E6" s="261">
        <f t="shared" si="0"/>
        <v>100</v>
      </c>
      <c r="F6" s="261">
        <f t="shared" si="0"/>
        <v>100</v>
      </c>
      <c r="G6" s="261">
        <f t="shared" si="0"/>
        <v>100</v>
      </c>
      <c r="H6" s="261">
        <f t="shared" si="0"/>
        <v>100</v>
      </c>
      <c r="I6" s="261">
        <f t="shared" si="0"/>
        <v>100</v>
      </c>
      <c r="J6" s="261">
        <f t="shared" si="0"/>
        <v>100</v>
      </c>
      <c r="K6" s="261">
        <f t="shared" si="0"/>
        <v>100</v>
      </c>
      <c r="L6" s="261">
        <f t="shared" si="0"/>
        <v>100</v>
      </c>
      <c r="M6" s="261">
        <f t="shared" si="0"/>
        <v>100</v>
      </c>
      <c r="N6" s="262">
        <f>SUM(N3:N5)</f>
        <v>48200</v>
      </c>
      <c r="O6" s="295">
        <f>SUM(O4:O5)</f>
        <v>51582</v>
      </c>
    </row>
    <row r="7" spans="1:16" ht="17" thickBot="1" x14ac:dyDescent="0.35">
      <c r="A7" s="253" t="s">
        <v>92</v>
      </c>
      <c r="B7" s="254">
        <v>10400</v>
      </c>
      <c r="C7" s="254"/>
      <c r="D7" s="254"/>
      <c r="E7" s="254"/>
      <c r="F7" s="254"/>
      <c r="G7" s="254"/>
      <c r="H7" s="254"/>
      <c r="I7" s="255"/>
      <c r="J7" s="254"/>
      <c r="K7" s="254"/>
      <c r="L7" s="256"/>
      <c r="M7" s="254"/>
      <c r="N7" s="255">
        <f>116*100</f>
        <v>11600</v>
      </c>
      <c r="O7" s="321">
        <f>5150+5875</f>
        <v>11025</v>
      </c>
      <c r="P7" s="297"/>
    </row>
    <row r="8" spans="1:16" ht="17" thickBot="1" x14ac:dyDescent="0.35">
      <c r="A8" s="281" t="s">
        <v>141</v>
      </c>
      <c r="B8" s="261"/>
      <c r="C8" s="261"/>
      <c r="D8" s="261"/>
      <c r="E8" s="261"/>
      <c r="F8" s="261"/>
      <c r="G8" s="261"/>
      <c r="H8" s="261"/>
      <c r="I8" s="262"/>
      <c r="J8" s="261"/>
      <c r="K8" s="261"/>
      <c r="L8" s="263"/>
      <c r="M8" s="261"/>
      <c r="N8" s="262">
        <f>+N6+N7</f>
        <v>59800</v>
      </c>
      <c r="O8" s="266">
        <f>+O6+O7</f>
        <v>62607</v>
      </c>
    </row>
    <row r="9" spans="1:16" x14ac:dyDescent="0.3">
      <c r="A9" s="253" t="s">
        <v>93</v>
      </c>
      <c r="B9" s="264"/>
      <c r="C9" s="254"/>
      <c r="D9" s="264"/>
      <c r="E9" s="254"/>
      <c r="F9" s="254"/>
      <c r="G9" s="254"/>
      <c r="H9" s="254"/>
      <c r="I9" s="255"/>
      <c r="J9" s="254"/>
      <c r="K9" s="254"/>
      <c r="L9" s="256"/>
      <c r="M9" s="254"/>
      <c r="N9" s="255">
        <f>SUM(B9:M9)</f>
        <v>0</v>
      </c>
      <c r="O9" s="292"/>
    </row>
    <row r="10" spans="1:16" x14ac:dyDescent="0.3">
      <c r="A10" s="253" t="s">
        <v>94</v>
      </c>
      <c r="B10" s="254"/>
      <c r="C10" s="254"/>
      <c r="D10" s="254"/>
      <c r="E10" s="254"/>
      <c r="F10" s="254"/>
      <c r="G10" s="254"/>
      <c r="H10" s="254"/>
      <c r="I10" s="255"/>
      <c r="J10" s="254"/>
      <c r="K10" s="254"/>
      <c r="L10" s="256"/>
      <c r="M10" s="254"/>
      <c r="N10" s="255">
        <f>SUM(B10:M10)</f>
        <v>0</v>
      </c>
      <c r="O10" s="293"/>
    </row>
    <row r="11" spans="1:16" x14ac:dyDescent="0.3">
      <c r="A11" s="265" t="s">
        <v>3</v>
      </c>
      <c r="B11" s="254"/>
      <c r="C11" s="254"/>
      <c r="D11" s="254"/>
      <c r="E11" s="254"/>
      <c r="F11" s="254"/>
      <c r="G11" s="254"/>
      <c r="H11" s="254"/>
      <c r="I11" s="255"/>
      <c r="J11" s="254"/>
      <c r="K11" s="254"/>
      <c r="L11" s="256"/>
      <c r="M11" s="254"/>
      <c r="N11" s="255"/>
      <c r="O11" s="293"/>
    </row>
    <row r="12" spans="1:16" x14ac:dyDescent="0.3">
      <c r="A12" s="265" t="s">
        <v>144</v>
      </c>
      <c r="B12" s="254"/>
      <c r="C12" s="254"/>
      <c r="D12" s="254">
        <v>400</v>
      </c>
      <c r="E12" s="254"/>
      <c r="F12" s="254">
        <v>400</v>
      </c>
      <c r="G12" s="254"/>
      <c r="H12" s="254"/>
      <c r="I12" s="255"/>
      <c r="J12" s="254"/>
      <c r="K12" s="254"/>
      <c r="L12" s="256">
        <v>400</v>
      </c>
      <c r="M12" s="254"/>
      <c r="N12" s="255">
        <f>SUM(B12:M12)</f>
        <v>1200</v>
      </c>
      <c r="O12" s="293">
        <v>2600</v>
      </c>
    </row>
    <row r="13" spans="1:16" x14ac:dyDescent="0.3">
      <c r="A13" s="265" t="s">
        <v>7</v>
      </c>
      <c r="B13" s="254">
        <v>300</v>
      </c>
      <c r="C13" s="254"/>
      <c r="D13" s="254">
        <v>1600</v>
      </c>
      <c r="E13" s="254">
        <v>800</v>
      </c>
      <c r="F13" s="254">
        <v>400</v>
      </c>
      <c r="J13" s="254"/>
      <c r="K13" s="255">
        <v>300</v>
      </c>
      <c r="L13" s="254">
        <v>300</v>
      </c>
      <c r="M13" s="254">
        <v>500</v>
      </c>
      <c r="N13" s="255">
        <f>SUM(B13:M13)</f>
        <v>4200</v>
      </c>
      <c r="O13" s="293">
        <v>4257</v>
      </c>
    </row>
    <row r="14" spans="1:16" x14ac:dyDescent="0.3">
      <c r="A14" s="265" t="s">
        <v>137</v>
      </c>
      <c r="B14" s="254">
        <v>1000</v>
      </c>
      <c r="C14" s="254"/>
      <c r="D14" s="254">
        <v>1200</v>
      </c>
      <c r="E14" s="254">
        <v>1000</v>
      </c>
      <c r="F14" s="254">
        <v>1200</v>
      </c>
      <c r="G14" s="254"/>
      <c r="H14" s="254"/>
      <c r="I14" s="255"/>
      <c r="J14" s="254">
        <v>400</v>
      </c>
      <c r="K14" s="254">
        <v>1000</v>
      </c>
      <c r="L14" s="256">
        <v>400</v>
      </c>
      <c r="M14" s="254">
        <v>1000</v>
      </c>
      <c r="N14" s="255">
        <f>SUM(B14:M14)</f>
        <v>7200</v>
      </c>
      <c r="O14" s="293">
        <v>19690.77</v>
      </c>
    </row>
    <row r="15" spans="1:16" x14ac:dyDescent="0.3">
      <c r="A15" s="265" t="s">
        <v>145</v>
      </c>
      <c r="B15" s="254">
        <v>800</v>
      </c>
      <c r="C15" s="254">
        <v>800</v>
      </c>
      <c r="D15" s="254">
        <v>800</v>
      </c>
      <c r="E15" s="254">
        <v>800</v>
      </c>
      <c r="F15" s="254">
        <v>800</v>
      </c>
      <c r="G15" s="254">
        <v>800</v>
      </c>
      <c r="H15" s="254">
        <v>800</v>
      </c>
      <c r="I15" s="254">
        <v>800</v>
      </c>
      <c r="J15" s="254">
        <v>800</v>
      </c>
      <c r="K15" s="254">
        <v>800</v>
      </c>
      <c r="L15" s="254">
        <v>800</v>
      </c>
      <c r="M15" s="254">
        <v>800</v>
      </c>
      <c r="N15" s="255">
        <f>SUM(B15:M15)</f>
        <v>9600</v>
      </c>
      <c r="O15" s="293">
        <v>3790</v>
      </c>
    </row>
    <row r="16" spans="1:16" x14ac:dyDescent="0.3">
      <c r="A16" s="265" t="s">
        <v>99</v>
      </c>
      <c r="B16" s="254">
        <v>300</v>
      </c>
      <c r="C16" s="254"/>
      <c r="D16" s="254">
        <v>300</v>
      </c>
      <c r="E16" s="254">
        <v>300</v>
      </c>
      <c r="F16" s="254">
        <v>300</v>
      </c>
      <c r="G16" s="254">
        <v>200</v>
      </c>
      <c r="H16" s="254">
        <v>200</v>
      </c>
      <c r="I16" s="255">
        <v>200</v>
      </c>
      <c r="J16" s="254">
        <v>200</v>
      </c>
      <c r="K16" s="254">
        <v>200</v>
      </c>
      <c r="L16" s="256">
        <v>200</v>
      </c>
      <c r="M16" s="254">
        <v>200</v>
      </c>
      <c r="N16" s="255">
        <f>SUM(B16:M16)</f>
        <v>2600</v>
      </c>
      <c r="O16" s="293">
        <v>4716.45</v>
      </c>
    </row>
    <row r="17" spans="1:17" x14ac:dyDescent="0.3">
      <c r="A17" s="265" t="s">
        <v>13</v>
      </c>
      <c r="B17" s="254"/>
      <c r="C17" s="254"/>
      <c r="D17" s="254"/>
      <c r="E17" s="254"/>
      <c r="F17" s="254"/>
      <c r="G17" s="254"/>
      <c r="H17" s="254"/>
      <c r="I17" s="255"/>
      <c r="J17" s="254"/>
      <c r="K17" s="254"/>
      <c r="L17" s="256"/>
      <c r="M17" s="254"/>
      <c r="N17" s="255">
        <v>500</v>
      </c>
      <c r="O17" s="293">
        <v>442.26</v>
      </c>
    </row>
    <row r="18" spans="1:17" x14ac:dyDescent="0.3">
      <c r="A18" s="265" t="s">
        <v>14</v>
      </c>
      <c r="B18" s="254">
        <v>100</v>
      </c>
      <c r="C18" s="254"/>
      <c r="D18" s="254"/>
      <c r="E18" s="254"/>
      <c r="F18" s="254"/>
      <c r="G18" s="254"/>
      <c r="H18" s="254"/>
      <c r="I18" s="255"/>
      <c r="J18" s="254"/>
      <c r="K18" s="254"/>
      <c r="L18" s="256"/>
      <c r="M18" s="254"/>
      <c r="N18" s="255">
        <f t="shared" ref="N17:N22" si="1">SUM(B18:M18)</f>
        <v>100</v>
      </c>
      <c r="O18" s="293">
        <v>0</v>
      </c>
    </row>
    <row r="19" spans="1:17" x14ac:dyDescent="0.3">
      <c r="A19" s="265" t="s">
        <v>142</v>
      </c>
      <c r="B19" s="254">
        <v>50</v>
      </c>
      <c r="C19" s="254"/>
      <c r="D19" s="254"/>
      <c r="E19" s="254"/>
      <c r="F19" s="254"/>
      <c r="G19" s="254"/>
      <c r="H19" s="254"/>
      <c r="I19" s="255"/>
      <c r="J19" s="254"/>
      <c r="K19" s="254"/>
      <c r="L19" s="256"/>
      <c r="M19" s="254">
        <v>50</v>
      </c>
      <c r="N19" s="255">
        <f t="shared" si="1"/>
        <v>100</v>
      </c>
      <c r="O19" s="293">
        <v>200</v>
      </c>
    </row>
    <row r="20" spans="1:17" x14ac:dyDescent="0.3">
      <c r="A20" s="265" t="s">
        <v>27</v>
      </c>
      <c r="B20" s="254"/>
      <c r="C20" s="254"/>
      <c r="D20" s="254"/>
      <c r="E20" s="254"/>
      <c r="F20" s="254"/>
      <c r="G20" s="254"/>
      <c r="H20" s="254"/>
      <c r="I20" s="255"/>
      <c r="J20" s="254"/>
      <c r="K20" s="254"/>
      <c r="L20" s="256"/>
      <c r="M20" s="254"/>
      <c r="N20" s="255">
        <f t="shared" si="1"/>
        <v>0</v>
      </c>
      <c r="O20" s="293">
        <v>1400</v>
      </c>
    </row>
    <row r="21" spans="1:17" x14ac:dyDescent="0.3">
      <c r="A21" s="265" t="s">
        <v>16</v>
      </c>
      <c r="B21" s="254"/>
      <c r="C21" s="254"/>
      <c r="D21" s="254"/>
      <c r="E21" s="254"/>
      <c r="F21" s="254"/>
      <c r="G21" s="254"/>
      <c r="H21" s="254"/>
      <c r="I21" s="255"/>
      <c r="J21" s="254"/>
      <c r="K21" s="254"/>
      <c r="L21" s="256"/>
      <c r="M21" s="254"/>
      <c r="N21" s="255">
        <v>2500</v>
      </c>
      <c r="O21" s="293">
        <v>5000</v>
      </c>
    </row>
    <row r="22" spans="1:17" x14ac:dyDescent="0.3">
      <c r="A22" s="265" t="s">
        <v>17</v>
      </c>
      <c r="B22" s="254">
        <v>100</v>
      </c>
      <c r="C22" s="254"/>
      <c r="D22" s="254"/>
      <c r="E22" s="254"/>
      <c r="F22" s="254"/>
      <c r="G22" s="254"/>
      <c r="H22" s="254"/>
      <c r="I22" s="255"/>
      <c r="J22" s="254"/>
      <c r="K22" s="254"/>
      <c r="L22" s="256"/>
      <c r="M22" s="254"/>
      <c r="N22" s="255">
        <f t="shared" si="1"/>
        <v>100</v>
      </c>
      <c r="O22" s="41"/>
    </row>
    <row r="23" spans="1:17" ht="17" thickBot="1" x14ac:dyDescent="0.35">
      <c r="A23" s="265"/>
      <c r="B23" s="254"/>
      <c r="C23" s="254"/>
      <c r="D23" s="254"/>
      <c r="E23" s="254"/>
      <c r="F23" s="254"/>
      <c r="G23" s="254"/>
      <c r="H23" s="254"/>
      <c r="I23" s="255"/>
      <c r="J23" s="254"/>
      <c r="K23" s="254"/>
      <c r="L23" s="256"/>
      <c r="M23" s="254"/>
      <c r="N23" s="255"/>
      <c r="O23" s="293"/>
    </row>
    <row r="24" spans="1:17" ht="17" thickBot="1" x14ac:dyDescent="0.35">
      <c r="A24" s="280" t="s">
        <v>140</v>
      </c>
      <c r="B24" s="261">
        <f>SUM(B9:B23)</f>
        <v>2650</v>
      </c>
      <c r="C24" s="261">
        <f t="shared" ref="C24:M24" si="2">SUM(C9:C23)</f>
        <v>800</v>
      </c>
      <c r="D24" s="261">
        <f t="shared" si="2"/>
        <v>4300</v>
      </c>
      <c r="E24" s="261">
        <f t="shared" si="2"/>
        <v>2900</v>
      </c>
      <c r="F24" s="261">
        <f t="shared" si="2"/>
        <v>3100</v>
      </c>
      <c r="G24" s="261">
        <f t="shared" si="2"/>
        <v>1000</v>
      </c>
      <c r="H24" s="261">
        <f t="shared" si="2"/>
        <v>1000</v>
      </c>
      <c r="I24" s="261">
        <f t="shared" si="2"/>
        <v>1000</v>
      </c>
      <c r="J24" s="261">
        <f t="shared" si="2"/>
        <v>1400</v>
      </c>
      <c r="K24" s="261">
        <f t="shared" si="2"/>
        <v>2300</v>
      </c>
      <c r="L24" s="261">
        <f t="shared" si="2"/>
        <v>2100</v>
      </c>
      <c r="M24" s="261">
        <f t="shared" si="2"/>
        <v>2550</v>
      </c>
      <c r="N24" s="263">
        <f>SUM(N9:N23)</f>
        <v>28100</v>
      </c>
      <c r="O24" s="295">
        <f>SUM(O9:O23)</f>
        <v>42096.480000000003</v>
      </c>
      <c r="Q24" s="41"/>
    </row>
    <row r="25" spans="1:17" ht="17" thickBot="1" x14ac:dyDescent="0.35">
      <c r="A25" s="280" t="s">
        <v>18</v>
      </c>
      <c r="B25" s="261"/>
      <c r="C25" s="261"/>
      <c r="D25" s="261"/>
      <c r="E25" s="261"/>
      <c r="F25" s="261"/>
      <c r="G25" s="261"/>
      <c r="H25" s="261"/>
      <c r="I25" s="262"/>
      <c r="J25" s="261"/>
      <c r="K25" s="261"/>
      <c r="L25" s="263"/>
      <c r="M25" s="263"/>
      <c r="N25" s="283">
        <f>SUM(N9+N24)+N8</f>
        <v>87900</v>
      </c>
      <c r="O25" s="295">
        <f>+O8+O24</f>
        <v>104703.48000000001</v>
      </c>
      <c r="Q25" s="41"/>
    </row>
    <row r="26" spans="1:17" ht="17" thickBot="1" x14ac:dyDescent="0.35">
      <c r="A26" s="267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93"/>
    </row>
    <row r="27" spans="1:17" ht="17" thickBot="1" x14ac:dyDescent="0.35">
      <c r="A27" s="39" t="s">
        <v>19</v>
      </c>
      <c r="B27" s="268" t="s">
        <v>81</v>
      </c>
      <c r="C27" s="268" t="s">
        <v>82</v>
      </c>
      <c r="D27" s="268" t="s">
        <v>83</v>
      </c>
      <c r="E27" s="269" t="s">
        <v>75</v>
      </c>
      <c r="F27" s="268" t="s">
        <v>76</v>
      </c>
      <c r="G27" s="268" t="s">
        <v>77</v>
      </c>
      <c r="H27" s="268" t="s">
        <v>78</v>
      </c>
      <c r="I27" s="268" t="s">
        <v>79</v>
      </c>
      <c r="J27" s="268" t="s">
        <v>80</v>
      </c>
      <c r="K27" s="270" t="s">
        <v>84</v>
      </c>
      <c r="L27" s="270" t="s">
        <v>85</v>
      </c>
      <c r="M27" s="271" t="s">
        <v>86</v>
      </c>
      <c r="N27" s="284" t="s">
        <v>53</v>
      </c>
      <c r="O27" s="299" t="s">
        <v>153</v>
      </c>
      <c r="Q27" s="40"/>
    </row>
    <row r="28" spans="1:17" x14ac:dyDescent="0.3">
      <c r="A28" s="265" t="s">
        <v>20</v>
      </c>
      <c r="B28" s="254"/>
      <c r="C28" s="254"/>
      <c r="D28" s="254"/>
      <c r="E28" s="254"/>
      <c r="F28" s="254"/>
      <c r="G28" s="254"/>
      <c r="H28" s="256"/>
      <c r="I28" s="254"/>
      <c r="J28" s="254"/>
      <c r="K28" s="254"/>
      <c r="L28" s="254"/>
      <c r="M28" s="255"/>
      <c r="N28" s="285">
        <f>SUM(B28:M28)</f>
        <v>0</v>
      </c>
      <c r="O28" s="293"/>
    </row>
    <row r="29" spans="1:17" x14ac:dyDescent="0.3">
      <c r="A29" s="265" t="s">
        <v>21</v>
      </c>
      <c r="B29" s="254">
        <v>50</v>
      </c>
      <c r="C29" s="254">
        <v>50</v>
      </c>
      <c r="D29" s="254">
        <v>60</v>
      </c>
      <c r="E29" s="254">
        <v>60</v>
      </c>
      <c r="F29" s="254">
        <v>60</v>
      </c>
      <c r="G29" s="254">
        <v>50</v>
      </c>
      <c r="H29" s="256">
        <v>50</v>
      </c>
      <c r="I29" s="254">
        <v>50</v>
      </c>
      <c r="J29" s="254">
        <v>50</v>
      </c>
      <c r="K29" s="254">
        <v>50</v>
      </c>
      <c r="L29" s="254">
        <v>50</v>
      </c>
      <c r="M29" s="255">
        <v>50</v>
      </c>
      <c r="N29" s="285">
        <f>SUM(B29:M29)</f>
        <v>630</v>
      </c>
      <c r="O29" s="293">
        <v>897.72</v>
      </c>
    </row>
    <row r="30" spans="1:17" x14ac:dyDescent="0.3">
      <c r="A30" s="265" t="s">
        <v>100</v>
      </c>
      <c r="B30" s="254">
        <v>100</v>
      </c>
      <c r="C30" s="254">
        <v>100</v>
      </c>
      <c r="D30" s="254">
        <v>100</v>
      </c>
      <c r="E30" s="254">
        <v>100</v>
      </c>
      <c r="F30" s="254">
        <v>100</v>
      </c>
      <c r="G30" s="254">
        <v>100</v>
      </c>
      <c r="H30" s="254">
        <v>100</v>
      </c>
      <c r="I30" s="254">
        <v>100</v>
      </c>
      <c r="J30" s="254">
        <v>100</v>
      </c>
      <c r="K30" s="254">
        <v>100</v>
      </c>
      <c r="L30" s="254">
        <v>100</v>
      </c>
      <c r="M30" s="254">
        <v>100</v>
      </c>
      <c r="N30" s="285">
        <f>SUM(B30:M30)</f>
        <v>1200</v>
      </c>
      <c r="O30" s="293">
        <v>1234.6300000000001</v>
      </c>
    </row>
    <row r="31" spans="1:17" x14ac:dyDescent="0.3">
      <c r="A31" s="265" t="s">
        <v>72</v>
      </c>
      <c r="B31" s="254"/>
      <c r="C31" s="254"/>
      <c r="D31" s="254"/>
      <c r="E31" s="254"/>
      <c r="F31" s="254"/>
      <c r="G31" s="254"/>
      <c r="H31" s="256"/>
      <c r="I31" s="254"/>
      <c r="J31" s="254"/>
      <c r="K31" s="254"/>
      <c r="L31" s="254"/>
      <c r="M31" s="255"/>
      <c r="N31" s="285"/>
      <c r="O31" s="293"/>
    </row>
    <row r="32" spans="1:17" x14ac:dyDescent="0.3">
      <c r="A32" s="265" t="s">
        <v>138</v>
      </c>
      <c r="B32" s="254">
        <v>200</v>
      </c>
      <c r="C32" s="254">
        <v>0</v>
      </c>
      <c r="D32" s="254">
        <v>80</v>
      </c>
      <c r="E32" s="254">
        <v>0</v>
      </c>
      <c r="F32" s="254">
        <v>0</v>
      </c>
      <c r="G32" s="254">
        <v>0</v>
      </c>
      <c r="H32" s="256">
        <v>0</v>
      </c>
      <c r="I32" s="254">
        <v>0</v>
      </c>
      <c r="J32" s="254">
        <v>125</v>
      </c>
      <c r="K32" s="254">
        <v>0</v>
      </c>
      <c r="L32" s="254">
        <v>0</v>
      </c>
      <c r="M32" s="255">
        <v>0</v>
      </c>
      <c r="N32" s="285">
        <v>250</v>
      </c>
      <c r="O32" s="293">
        <v>231.38</v>
      </c>
    </row>
    <row r="33" spans="1:17" x14ac:dyDescent="0.3">
      <c r="A33" s="265" t="s">
        <v>139</v>
      </c>
      <c r="B33" s="254"/>
      <c r="C33" s="254"/>
      <c r="D33" s="254"/>
      <c r="E33" s="254"/>
      <c r="F33" s="254"/>
      <c r="G33" s="254"/>
      <c r="H33" s="256"/>
      <c r="I33" s="254"/>
      <c r="J33" s="254"/>
      <c r="K33" s="254"/>
      <c r="L33" s="254"/>
      <c r="M33" s="255">
        <v>5014</v>
      </c>
      <c r="N33" s="285">
        <f>SUM(B33:M33)</f>
        <v>5014</v>
      </c>
      <c r="O33" s="293">
        <v>9743</v>
      </c>
      <c r="P33" s="41"/>
    </row>
    <row r="34" spans="1:17" x14ac:dyDescent="0.3">
      <c r="A34" s="265" t="s">
        <v>49</v>
      </c>
      <c r="B34" s="254"/>
      <c r="C34" s="254"/>
      <c r="D34" s="254"/>
      <c r="E34" s="254"/>
      <c r="F34" s="254"/>
      <c r="G34" s="254"/>
      <c r="H34" s="256"/>
      <c r="I34" s="254"/>
      <c r="J34" s="254"/>
      <c r="K34" s="254"/>
      <c r="L34" s="254"/>
      <c r="M34" s="255"/>
      <c r="N34" s="285"/>
      <c r="O34" s="293"/>
    </row>
    <row r="35" spans="1:17" x14ac:dyDescent="0.3">
      <c r="A35" s="265" t="s">
        <v>99</v>
      </c>
      <c r="B35" s="254">
        <v>1500</v>
      </c>
      <c r="C35" s="254">
        <v>1500</v>
      </c>
      <c r="D35" s="254">
        <v>1500</v>
      </c>
      <c r="E35" s="254">
        <v>1500</v>
      </c>
      <c r="F35" s="254">
        <v>1500</v>
      </c>
      <c r="G35" s="254">
        <v>1500</v>
      </c>
      <c r="H35" s="254">
        <v>1500</v>
      </c>
      <c r="I35" s="254">
        <v>1500</v>
      </c>
      <c r="J35" s="254">
        <v>1500</v>
      </c>
      <c r="K35" s="254">
        <v>1500</v>
      </c>
      <c r="L35" s="254">
        <v>1500</v>
      </c>
      <c r="M35" s="254">
        <v>1500</v>
      </c>
      <c r="N35" s="285">
        <f>SUM(B35:M35)</f>
        <v>18000</v>
      </c>
      <c r="O35" s="293">
        <v>20678</v>
      </c>
      <c r="P35" s="42"/>
      <c r="Q35" s="43"/>
    </row>
    <row r="36" spans="1:17" x14ac:dyDescent="0.3">
      <c r="A36" s="265" t="s">
        <v>26</v>
      </c>
      <c r="B36" s="254"/>
      <c r="C36" s="254"/>
      <c r="D36" s="254"/>
      <c r="E36" s="254"/>
      <c r="F36" s="254"/>
      <c r="G36" s="254"/>
      <c r="H36" s="256"/>
      <c r="I36" s="254"/>
      <c r="J36" s="254"/>
      <c r="K36" s="254"/>
      <c r="L36" s="254"/>
      <c r="M36" s="255"/>
      <c r="N36" s="285"/>
      <c r="O36" s="293"/>
      <c r="P36" s="41"/>
    </row>
    <row r="37" spans="1:17" x14ac:dyDescent="0.3">
      <c r="A37" s="265" t="s">
        <v>27</v>
      </c>
      <c r="B37" s="254"/>
      <c r="C37" s="254"/>
      <c r="D37" s="254"/>
      <c r="E37" s="254"/>
      <c r="F37" s="254"/>
      <c r="G37" s="254"/>
      <c r="H37" s="256"/>
      <c r="I37" s="254"/>
      <c r="J37" s="254"/>
      <c r="K37" s="254"/>
      <c r="L37" s="254"/>
      <c r="M37" s="255"/>
      <c r="N37" s="285"/>
      <c r="O37" s="293"/>
      <c r="P37" s="41"/>
    </row>
    <row r="38" spans="1:17" x14ac:dyDescent="0.3">
      <c r="A38" s="265" t="s">
        <v>28</v>
      </c>
      <c r="B38" s="254"/>
      <c r="C38" s="254"/>
      <c r="D38" s="254"/>
      <c r="E38" s="254"/>
      <c r="F38" s="254"/>
      <c r="G38" s="254"/>
      <c r="H38" s="256"/>
      <c r="I38" s="254"/>
      <c r="J38" s="254"/>
      <c r="K38" s="254"/>
      <c r="L38" s="254"/>
      <c r="M38" s="255"/>
      <c r="N38" s="285"/>
      <c r="O38" s="293"/>
      <c r="P38" s="41"/>
    </row>
    <row r="39" spans="1:17" x14ac:dyDescent="0.3">
      <c r="A39" s="265" t="s">
        <v>29</v>
      </c>
      <c r="B39" s="254">
        <v>500</v>
      </c>
      <c r="C39" s="254">
        <v>500</v>
      </c>
      <c r="D39" s="254">
        <v>500</v>
      </c>
      <c r="E39" s="254">
        <v>500</v>
      </c>
      <c r="F39" s="254">
        <v>500</v>
      </c>
      <c r="G39" s="254">
        <v>500</v>
      </c>
      <c r="H39" s="254">
        <v>500</v>
      </c>
      <c r="I39" s="254">
        <v>500</v>
      </c>
      <c r="J39" s="254">
        <v>500</v>
      </c>
      <c r="K39" s="254">
        <v>500</v>
      </c>
      <c r="L39" s="254">
        <v>500</v>
      </c>
      <c r="M39" s="254">
        <v>500</v>
      </c>
      <c r="N39" s="285">
        <f>SUM(B39:M39)</f>
        <v>6000</v>
      </c>
      <c r="O39" s="293">
        <v>6230</v>
      </c>
      <c r="P39" s="42"/>
      <c r="Q39" s="43"/>
    </row>
    <row r="40" spans="1:17" x14ac:dyDescent="0.3">
      <c r="A40" s="265" t="s">
        <v>30</v>
      </c>
      <c r="B40" s="254">
        <v>300</v>
      </c>
      <c r="C40" s="254">
        <v>300</v>
      </c>
      <c r="D40" s="254">
        <v>300</v>
      </c>
      <c r="E40" s="254">
        <v>300</v>
      </c>
      <c r="F40" s="254">
        <v>300</v>
      </c>
      <c r="G40" s="254">
        <v>300</v>
      </c>
      <c r="H40" s="254">
        <v>300</v>
      </c>
      <c r="I40" s="254">
        <v>300</v>
      </c>
      <c r="J40" s="254">
        <v>300</v>
      </c>
      <c r="K40" s="254">
        <v>300</v>
      </c>
      <c r="L40" s="254">
        <v>300</v>
      </c>
      <c r="M40" s="254">
        <v>300</v>
      </c>
      <c r="N40" s="285">
        <f>SUM(B40:M40)</f>
        <v>3600</v>
      </c>
      <c r="O40" s="293">
        <v>7000</v>
      </c>
      <c r="P40" s="41"/>
    </row>
    <row r="41" spans="1:17" x14ac:dyDescent="0.3">
      <c r="A41" s="265" t="s">
        <v>31</v>
      </c>
      <c r="B41" s="254">
        <v>300</v>
      </c>
      <c r="C41" s="254">
        <v>300</v>
      </c>
      <c r="D41" s="254">
        <v>300</v>
      </c>
      <c r="E41" s="254">
        <v>300</v>
      </c>
      <c r="F41" s="254">
        <v>300</v>
      </c>
      <c r="G41" s="254">
        <v>300</v>
      </c>
      <c r="H41" s="254">
        <v>300</v>
      </c>
      <c r="I41" s="254">
        <v>300</v>
      </c>
      <c r="J41" s="254">
        <v>300</v>
      </c>
      <c r="K41" s="254">
        <v>300</v>
      </c>
      <c r="L41" s="254">
        <v>300</v>
      </c>
      <c r="M41" s="254">
        <v>300</v>
      </c>
      <c r="N41" s="254">
        <v>300</v>
      </c>
      <c r="O41" s="293">
        <v>3020.99</v>
      </c>
      <c r="P41" s="41"/>
    </row>
    <row r="42" spans="1:17" x14ac:dyDescent="0.3">
      <c r="A42" s="265" t="s">
        <v>32</v>
      </c>
      <c r="B42" s="254">
        <v>100</v>
      </c>
      <c r="C42" s="254">
        <v>100</v>
      </c>
      <c r="D42" s="254">
        <v>100</v>
      </c>
      <c r="E42" s="254">
        <v>100</v>
      </c>
      <c r="F42" s="254">
        <v>100</v>
      </c>
      <c r="G42" s="254">
        <v>100</v>
      </c>
      <c r="H42" s="256">
        <v>100</v>
      </c>
      <c r="I42" s="254">
        <v>100</v>
      </c>
      <c r="J42" s="254">
        <v>100</v>
      </c>
      <c r="K42" s="254">
        <v>100</v>
      </c>
      <c r="L42" s="254">
        <v>100</v>
      </c>
      <c r="M42" s="255">
        <v>100</v>
      </c>
      <c r="N42" s="285">
        <f>SUM(B42:M42)</f>
        <v>1200</v>
      </c>
      <c r="O42" s="293">
        <v>1200</v>
      </c>
      <c r="P42" s="42"/>
      <c r="Q42" s="43"/>
    </row>
    <row r="43" spans="1:17" x14ac:dyDescent="0.3">
      <c r="A43" s="265" t="s">
        <v>33</v>
      </c>
      <c r="B43" s="254">
        <v>200</v>
      </c>
      <c r="C43" s="254"/>
      <c r="D43" s="33">
        <v>100</v>
      </c>
      <c r="E43" s="254"/>
      <c r="F43" s="254">
        <v>100</v>
      </c>
      <c r="G43" s="254">
        <v>150</v>
      </c>
      <c r="H43" s="256"/>
      <c r="I43" s="254"/>
      <c r="J43" s="254">
        <v>150</v>
      </c>
      <c r="K43" s="254">
        <v>150</v>
      </c>
      <c r="L43" s="254">
        <v>150</v>
      </c>
      <c r="M43" s="255">
        <v>75</v>
      </c>
      <c r="N43" s="285">
        <f>SUM(B43:M43)</f>
        <v>1075</v>
      </c>
      <c r="O43" s="293">
        <v>1000</v>
      </c>
      <c r="P43" s="41"/>
    </row>
    <row r="44" spans="1:17" x14ac:dyDescent="0.3">
      <c r="A44" s="265" t="s">
        <v>34</v>
      </c>
      <c r="B44" s="254"/>
      <c r="C44" s="254"/>
      <c r="D44" s="254"/>
      <c r="E44" s="254"/>
      <c r="F44" s="254"/>
      <c r="G44" s="254"/>
      <c r="H44" s="256"/>
      <c r="I44" s="254"/>
      <c r="J44" s="254"/>
      <c r="K44" s="254"/>
      <c r="L44" s="254"/>
      <c r="M44" s="255"/>
      <c r="N44" s="285"/>
      <c r="O44" s="293"/>
      <c r="P44" s="41"/>
    </row>
    <row r="45" spans="1:17" x14ac:dyDescent="0.3">
      <c r="A45" s="265" t="s">
        <v>35</v>
      </c>
      <c r="B45" s="254"/>
      <c r="C45" s="254"/>
      <c r="D45" s="254"/>
      <c r="E45" s="254">
        <f>4718.47+3395.44</f>
        <v>8113.91</v>
      </c>
      <c r="F45" s="254"/>
      <c r="G45" s="254"/>
      <c r="H45" s="256"/>
      <c r="I45" s="254"/>
      <c r="J45" s="254"/>
      <c r="K45" s="254"/>
      <c r="L45" s="254"/>
      <c r="M45" s="255"/>
      <c r="N45" s="285">
        <f>SUM(B45:M45)</f>
        <v>8113.91</v>
      </c>
      <c r="O45" s="293">
        <v>8436.2099999999991</v>
      </c>
      <c r="P45" s="41"/>
    </row>
    <row r="46" spans="1:17" ht="17" thickBot="1" x14ac:dyDescent="0.35">
      <c r="A46" s="265" t="s">
        <v>50</v>
      </c>
      <c r="B46" s="254"/>
      <c r="C46" s="254"/>
      <c r="D46" s="254"/>
      <c r="E46" s="254"/>
      <c r="F46" s="254"/>
      <c r="G46" s="254"/>
      <c r="H46" s="256"/>
      <c r="I46" s="254"/>
      <c r="J46" s="254"/>
      <c r="K46" s="254"/>
      <c r="L46" s="254"/>
      <c r="M46" s="255"/>
      <c r="N46" s="285"/>
      <c r="O46" s="41"/>
      <c r="P46" s="296"/>
    </row>
    <row r="47" spans="1:17" ht="17" thickBot="1" x14ac:dyDescent="0.35">
      <c r="A47" s="44" t="s">
        <v>97</v>
      </c>
      <c r="B47" s="258"/>
      <c r="C47" s="258"/>
      <c r="D47" s="258"/>
      <c r="E47" s="258"/>
      <c r="F47" s="258"/>
      <c r="G47" s="258"/>
      <c r="H47" s="260"/>
      <c r="I47" s="258"/>
      <c r="J47" s="258"/>
      <c r="K47" s="258"/>
      <c r="L47" s="258"/>
      <c r="M47" s="259"/>
      <c r="N47" s="286"/>
      <c r="O47" s="295"/>
      <c r="P47" s="41"/>
    </row>
    <row r="48" spans="1:17" x14ac:dyDescent="0.3">
      <c r="A48" s="272" t="s">
        <v>102</v>
      </c>
      <c r="B48" s="273">
        <v>225</v>
      </c>
      <c r="C48" s="273">
        <v>225</v>
      </c>
      <c r="D48" s="273">
        <v>225</v>
      </c>
      <c r="E48" s="273">
        <v>225</v>
      </c>
      <c r="F48" s="273">
        <v>225</v>
      </c>
      <c r="G48" s="273">
        <v>225</v>
      </c>
      <c r="H48" s="273">
        <v>225</v>
      </c>
      <c r="I48" s="273">
        <v>225</v>
      </c>
      <c r="J48" s="273">
        <v>225</v>
      </c>
      <c r="K48" s="273">
        <v>225</v>
      </c>
      <c r="L48" s="273">
        <v>225</v>
      </c>
      <c r="M48" s="273">
        <v>225</v>
      </c>
      <c r="N48" s="287">
        <f>SUM(B48:M48)</f>
        <v>2700</v>
      </c>
      <c r="O48" s="293">
        <v>2261.65</v>
      </c>
      <c r="P48" s="42"/>
      <c r="Q48" s="43"/>
    </row>
    <row r="49" spans="1:18" x14ac:dyDescent="0.3">
      <c r="A49" s="276" t="s">
        <v>37</v>
      </c>
      <c r="B49" s="254">
        <v>1000</v>
      </c>
      <c r="C49" s="254">
        <v>1200</v>
      </c>
      <c r="D49" s="254">
        <v>1900</v>
      </c>
      <c r="E49" s="254">
        <v>2700</v>
      </c>
      <c r="F49" s="254">
        <v>3300</v>
      </c>
      <c r="G49" s="254">
        <v>3200</v>
      </c>
      <c r="H49" s="256">
        <v>2800</v>
      </c>
      <c r="I49" s="254">
        <v>2000</v>
      </c>
      <c r="J49" s="254">
        <v>1000</v>
      </c>
      <c r="K49" s="254">
        <v>700</v>
      </c>
      <c r="L49" s="254">
        <v>700</v>
      </c>
      <c r="M49" s="255">
        <v>700</v>
      </c>
      <c r="N49" s="285">
        <f>SUM(B49:M49)</f>
        <v>21200</v>
      </c>
      <c r="O49" s="293">
        <v>16325.47</v>
      </c>
      <c r="P49" s="42"/>
      <c r="Q49" s="43"/>
    </row>
    <row r="50" spans="1:18" x14ac:dyDescent="0.3">
      <c r="A50" s="276" t="s">
        <v>38</v>
      </c>
      <c r="B50" s="254">
        <v>100</v>
      </c>
      <c r="C50" s="254">
        <v>100</v>
      </c>
      <c r="D50" s="254">
        <v>100</v>
      </c>
      <c r="E50" s="254">
        <v>100</v>
      </c>
      <c r="F50" s="254">
        <v>100</v>
      </c>
      <c r="G50" s="254">
        <v>100</v>
      </c>
      <c r="H50" s="256">
        <v>100</v>
      </c>
      <c r="I50" s="254">
        <v>100</v>
      </c>
      <c r="J50" s="254">
        <v>100</v>
      </c>
      <c r="K50" s="254">
        <v>100</v>
      </c>
      <c r="L50" s="254">
        <v>100</v>
      </c>
      <c r="M50" s="255">
        <v>100</v>
      </c>
      <c r="N50" s="285">
        <f>SUM(B50:M50)</f>
        <v>1200</v>
      </c>
      <c r="O50" s="293">
        <v>1124.3800000000001</v>
      </c>
      <c r="P50" s="42"/>
      <c r="Q50" s="43"/>
    </row>
    <row r="51" spans="1:18" x14ac:dyDescent="0.3">
      <c r="A51" s="276" t="s">
        <v>39</v>
      </c>
      <c r="B51" s="254">
        <v>1500</v>
      </c>
      <c r="C51" s="254">
        <v>1500</v>
      </c>
      <c r="D51" s="254">
        <v>1500</v>
      </c>
      <c r="E51" s="254">
        <v>1500</v>
      </c>
      <c r="F51" s="254">
        <v>1500</v>
      </c>
      <c r="G51" s="254">
        <v>1500</v>
      </c>
      <c r="H51" s="254">
        <v>1500</v>
      </c>
      <c r="I51" s="254">
        <v>1500</v>
      </c>
      <c r="J51" s="254">
        <v>1500</v>
      </c>
      <c r="K51" s="254">
        <v>1500</v>
      </c>
      <c r="L51" s="254">
        <v>1500</v>
      </c>
      <c r="M51" s="254">
        <v>1500</v>
      </c>
      <c r="N51" s="285">
        <f>SUM(B51:M51)</f>
        <v>18000</v>
      </c>
      <c r="O51" s="293">
        <v>10579.32</v>
      </c>
      <c r="P51" s="42"/>
      <c r="Q51" s="37"/>
    </row>
    <row r="52" spans="1:18" x14ac:dyDescent="0.3">
      <c r="A52" s="277" t="s">
        <v>40</v>
      </c>
      <c r="B52" s="251">
        <v>250</v>
      </c>
      <c r="C52" s="251">
        <v>250</v>
      </c>
      <c r="D52" s="251">
        <v>250</v>
      </c>
      <c r="E52" s="251">
        <v>250</v>
      </c>
      <c r="F52" s="251">
        <v>250</v>
      </c>
      <c r="G52" s="251">
        <v>250</v>
      </c>
      <c r="H52" s="257">
        <v>250</v>
      </c>
      <c r="I52" s="251">
        <v>250</v>
      </c>
      <c r="J52" s="251">
        <v>250</v>
      </c>
      <c r="K52" s="251">
        <v>250</v>
      </c>
      <c r="L52" s="251">
        <v>250</v>
      </c>
      <c r="M52" s="252">
        <v>250</v>
      </c>
      <c r="N52" s="288">
        <f>SUM(B52:M52)</f>
        <v>3000</v>
      </c>
      <c r="O52" s="293">
        <v>0</v>
      </c>
      <c r="P52" s="41"/>
    </row>
    <row r="53" spans="1:18" x14ac:dyDescent="0.3">
      <c r="A53" s="44" t="s">
        <v>90</v>
      </c>
      <c r="B53" s="258">
        <f t="shared" ref="B53:L53" si="3">SUM(B48:B52)</f>
        <v>3075</v>
      </c>
      <c r="C53" s="258">
        <f t="shared" si="3"/>
        <v>3275</v>
      </c>
      <c r="D53" s="258">
        <f t="shared" si="3"/>
        <v>3975</v>
      </c>
      <c r="E53" s="258">
        <f t="shared" si="3"/>
        <v>4775</v>
      </c>
      <c r="F53" s="258">
        <f t="shared" si="3"/>
        <v>5375</v>
      </c>
      <c r="G53" s="258">
        <f t="shared" si="3"/>
        <v>5275</v>
      </c>
      <c r="H53" s="260">
        <f t="shared" si="3"/>
        <v>4875</v>
      </c>
      <c r="I53" s="258">
        <f t="shared" si="3"/>
        <v>4075</v>
      </c>
      <c r="J53" s="258">
        <f t="shared" si="3"/>
        <v>3075</v>
      </c>
      <c r="K53" s="258">
        <f t="shared" si="3"/>
        <v>2775</v>
      </c>
      <c r="L53" s="258">
        <f t="shared" si="3"/>
        <v>2775</v>
      </c>
      <c r="M53" s="259">
        <f>SUM(M48:M52)</f>
        <v>2775</v>
      </c>
      <c r="N53" s="286">
        <f>SUM(N48:N52)</f>
        <v>46100</v>
      </c>
      <c r="O53" s="300">
        <f>SUM(O48:O52)</f>
        <v>30290.82</v>
      </c>
      <c r="P53" s="41"/>
      <c r="Q53" s="41"/>
      <c r="R53" s="41"/>
    </row>
    <row r="54" spans="1:18" x14ac:dyDescent="0.3">
      <c r="A54" s="278" t="s">
        <v>41</v>
      </c>
      <c r="B54" s="273"/>
      <c r="C54" s="273"/>
      <c r="D54" s="273"/>
      <c r="E54" s="273"/>
      <c r="F54" s="273"/>
      <c r="G54" s="273"/>
      <c r="H54" s="274"/>
      <c r="I54" s="273"/>
      <c r="J54" s="273"/>
      <c r="K54" s="273"/>
      <c r="L54" s="273"/>
      <c r="M54" s="275"/>
      <c r="N54" s="287">
        <v>0</v>
      </c>
      <c r="O54" s="293"/>
    </row>
    <row r="55" spans="1:18" x14ac:dyDescent="0.3">
      <c r="A55" s="265" t="s">
        <v>136</v>
      </c>
      <c r="B55" s="254"/>
      <c r="C55" s="254"/>
      <c r="D55" s="254"/>
      <c r="E55" s="254"/>
      <c r="F55" s="254"/>
      <c r="G55" s="254"/>
      <c r="H55" s="256"/>
      <c r="I55" s="254"/>
      <c r="J55" s="254"/>
      <c r="K55" s="254"/>
      <c r="L55" s="254"/>
      <c r="M55" s="255"/>
      <c r="N55" s="285">
        <f>SUM(B55:M55)</f>
        <v>0</v>
      </c>
      <c r="O55" s="293"/>
    </row>
    <row r="56" spans="1:18" x14ac:dyDescent="0.3">
      <c r="A56" s="265" t="s">
        <v>42</v>
      </c>
      <c r="B56" s="264"/>
      <c r="C56" s="254"/>
      <c r="D56" s="254"/>
      <c r="E56" s="254"/>
      <c r="F56" s="254"/>
      <c r="G56" s="254"/>
      <c r="H56" s="256"/>
      <c r="I56" s="254"/>
      <c r="J56" s="254"/>
      <c r="K56" s="254"/>
      <c r="L56" s="254"/>
      <c r="M56" s="255"/>
      <c r="N56" s="285">
        <v>0</v>
      </c>
      <c r="O56" s="293"/>
    </row>
    <row r="57" spans="1:18" x14ac:dyDescent="0.3">
      <c r="A57" s="265" t="s">
        <v>43</v>
      </c>
      <c r="B57" s="254"/>
      <c r="C57" s="254"/>
      <c r="D57" s="254"/>
      <c r="E57" s="254"/>
      <c r="F57" s="254"/>
      <c r="G57" s="254"/>
      <c r="H57" s="256"/>
      <c r="I57" s="254"/>
      <c r="J57" s="254"/>
      <c r="K57" s="254"/>
      <c r="L57" s="254"/>
      <c r="M57" s="255"/>
      <c r="N57" s="285">
        <v>0</v>
      </c>
      <c r="O57" s="293"/>
    </row>
    <row r="58" spans="1:18" x14ac:dyDescent="0.3">
      <c r="A58" s="265" t="s">
        <v>98</v>
      </c>
      <c r="B58" s="254">
        <v>100</v>
      </c>
      <c r="C58" s="254">
        <v>100</v>
      </c>
      <c r="D58" s="254">
        <v>100</v>
      </c>
      <c r="E58" s="254">
        <v>100</v>
      </c>
      <c r="F58" s="254">
        <v>100</v>
      </c>
      <c r="G58" s="254">
        <v>100</v>
      </c>
      <c r="H58" s="254">
        <v>100</v>
      </c>
      <c r="I58" s="254">
        <v>100</v>
      </c>
      <c r="J58" s="254">
        <v>100</v>
      </c>
      <c r="K58" s="254">
        <v>100</v>
      </c>
      <c r="L58" s="254">
        <v>100</v>
      </c>
      <c r="M58" s="254">
        <v>100</v>
      </c>
      <c r="N58" s="285">
        <f>SUM(B58:M58)</f>
        <v>1200</v>
      </c>
      <c r="O58" s="293">
        <v>1387.81</v>
      </c>
    </row>
    <row r="59" spans="1:18" ht="17" thickBot="1" x14ac:dyDescent="0.35">
      <c r="A59" s="265" t="s">
        <v>91</v>
      </c>
      <c r="B59" s="254">
        <v>200</v>
      </c>
      <c r="C59" s="254"/>
      <c r="D59" s="254">
        <v>200</v>
      </c>
      <c r="E59" s="254"/>
      <c r="F59" s="254">
        <v>200</v>
      </c>
      <c r="G59" s="254"/>
      <c r="H59" s="256">
        <v>200</v>
      </c>
      <c r="I59" s="254"/>
      <c r="J59" s="254">
        <v>200</v>
      </c>
      <c r="K59" s="254"/>
      <c r="L59" s="254">
        <v>200</v>
      </c>
      <c r="M59" s="255"/>
      <c r="N59" s="285">
        <f>SUM(B59:M59)</f>
        <v>1200</v>
      </c>
      <c r="O59" s="293"/>
    </row>
    <row r="60" spans="1:18" ht="17" thickBot="1" x14ac:dyDescent="0.35">
      <c r="A60" s="39" t="s">
        <v>44</v>
      </c>
      <c r="B60" s="266">
        <f>SUM(B28:B46)+SUM(B48:B52)+SUM(B54:B59)</f>
        <v>6625</v>
      </c>
      <c r="C60" s="266">
        <f t="shared" ref="C60:M60" si="4">SUM(C28:C46)+SUM(C48:C52)+SUM(C54:C59)</f>
        <v>6225</v>
      </c>
      <c r="D60" s="266">
        <f t="shared" si="4"/>
        <v>7315</v>
      </c>
      <c r="E60" s="266">
        <f t="shared" si="4"/>
        <v>15848.91</v>
      </c>
      <c r="F60" s="266">
        <f t="shared" si="4"/>
        <v>8635</v>
      </c>
      <c r="G60" s="266">
        <f t="shared" si="4"/>
        <v>8375</v>
      </c>
      <c r="H60" s="266">
        <f t="shared" si="4"/>
        <v>8025</v>
      </c>
      <c r="I60" s="266">
        <f t="shared" si="4"/>
        <v>7025</v>
      </c>
      <c r="J60" s="266">
        <f t="shared" si="4"/>
        <v>6500</v>
      </c>
      <c r="K60" s="266">
        <f t="shared" si="4"/>
        <v>5875</v>
      </c>
      <c r="L60" s="266">
        <f t="shared" si="4"/>
        <v>6075</v>
      </c>
      <c r="M60" s="266">
        <f t="shared" si="4"/>
        <v>10814</v>
      </c>
      <c r="N60" s="283">
        <f>SUM(N28:N46)+SUM(N48:N52)+SUM(N54:N59)</f>
        <v>93882.91</v>
      </c>
      <c r="O60" s="301">
        <f>SUM(O28:O46)+SUM(O48:O52)+SUM(O54:O59)</f>
        <v>91350.56</v>
      </c>
    </row>
    <row r="61" spans="1:18" ht="17" thickBot="1" x14ac:dyDescent="0.35">
      <c r="A61" s="38" t="s">
        <v>146</v>
      </c>
      <c r="B61" s="34"/>
      <c r="C61" s="34"/>
      <c r="D61" s="34"/>
      <c r="E61" s="34"/>
      <c r="F61" s="34"/>
      <c r="G61" s="34"/>
      <c r="H61" s="36"/>
      <c r="I61" s="34"/>
      <c r="J61" s="34"/>
      <c r="K61" s="34"/>
      <c r="L61" s="34"/>
      <c r="M61" s="35"/>
      <c r="N61" s="289">
        <f>+N25-N60</f>
        <v>-5982.9100000000035</v>
      </c>
      <c r="O61" s="289"/>
    </row>
    <row r="62" spans="1:18" ht="17" thickBot="1" x14ac:dyDescent="0.35">
      <c r="A62" s="39" t="s">
        <v>95</v>
      </c>
      <c r="B62" s="45"/>
      <c r="C62" s="45"/>
      <c r="D62" s="45"/>
      <c r="E62" s="45"/>
      <c r="F62" s="45"/>
      <c r="G62" s="45"/>
      <c r="H62" s="46"/>
      <c r="I62" s="45"/>
      <c r="J62" s="45"/>
      <c r="K62" s="45"/>
      <c r="L62" s="45"/>
      <c r="M62" s="47"/>
      <c r="N62" s="290"/>
      <c r="O62" s="295"/>
    </row>
    <row r="63" spans="1:18" x14ac:dyDescent="0.3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</row>
    <row r="64" spans="1:18" x14ac:dyDescent="0.3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2:14" x14ac:dyDescent="0.3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</row>
    <row r="66" spans="2:14" x14ac:dyDescent="0.3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2:14" x14ac:dyDescent="0.3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2:14" x14ac:dyDescent="0.3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</sheetData>
  <pageMargins left="0.25" right="0.25" top="0.75" bottom="0.75" header="0.3" footer="0.3"/>
  <pageSetup scale="4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2007-2016</vt:lpstr>
      <vt:lpstr>2022 Budget</vt:lpstr>
      <vt:lpstr>'2007-2016'!Print_Titles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Van Rooyen</dc:creator>
  <cp:lastModifiedBy>Barbara Freeman</cp:lastModifiedBy>
  <cp:lastPrinted>2021-09-16T19:00:49Z</cp:lastPrinted>
  <dcterms:created xsi:type="dcterms:W3CDTF">2012-12-01T15:42:08Z</dcterms:created>
  <dcterms:modified xsi:type="dcterms:W3CDTF">2021-09-16T19:22:14Z</dcterms:modified>
</cp:coreProperties>
</file>